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2105" windowHeight="7245" activeTab="0"/>
  </bookViews>
  <sheets>
    <sheet name="Telescope description" sheetId="1" r:id="rId1"/>
    <sheet name="Baffles A" sheetId="2" r:id="rId2"/>
    <sheet name="Baffles B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Michael Peck</author>
    <author>Preferred Customer</author>
  </authors>
  <commentList>
    <comment ref="C6" authorId="0">
      <text>
        <r>
          <rPr>
            <b/>
            <sz val="8"/>
            <rFont val="Tahoma"/>
            <family val="0"/>
          </rPr>
          <t>Primary semi-diameter</t>
        </r>
      </text>
    </comment>
    <comment ref="D6" authorId="0">
      <text>
        <r>
          <rPr>
            <b/>
            <sz val="8"/>
            <rFont val="Tahoma"/>
            <family val="0"/>
          </rPr>
          <t>Primary semi-diameter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Primary radius of curvature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Secondary semi-diameter (actual)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Secondary radius of curvature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Secondary magnification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Primary-focal plane separation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System effective focal ratio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Semi-diameter of fully illuminated field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Semi-diameter of fully shielded field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Semi-diameter of fully shielded field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0"/>
          </rPr>
          <t>Primary focal ratio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<sst xmlns="http://schemas.openxmlformats.org/spreadsheetml/2006/main" count="199" uniqueCount="107">
  <si>
    <t>Basic cassegrain/gregory layout</t>
  </si>
  <si>
    <t>Quantity</t>
  </si>
  <si>
    <t>Notation</t>
  </si>
  <si>
    <t>Sign</t>
  </si>
  <si>
    <t>Primary</t>
  </si>
  <si>
    <t>y1,N1,b,N' given</t>
  </si>
  <si>
    <t>y1,r1,y2,r2,m2 given</t>
  </si>
  <si>
    <t>Cass</t>
  </si>
  <si>
    <t>Gregory</t>
  </si>
  <si>
    <t>1/2 diam</t>
  </si>
  <si>
    <t>y1</t>
  </si>
  <si>
    <t>&gt;0</t>
  </si>
  <si>
    <t>r.c.</t>
  </si>
  <si>
    <t>r1</t>
  </si>
  <si>
    <t>&lt;0</t>
  </si>
  <si>
    <t>f.l.</t>
  </si>
  <si>
    <t>f1'</t>
  </si>
  <si>
    <t>f/ ratio</t>
  </si>
  <si>
    <t>N1</t>
  </si>
  <si>
    <t>Secondary</t>
  </si>
  <si>
    <t>min. 1/2 diam</t>
  </si>
  <si>
    <t>yA</t>
  </si>
  <si>
    <t>min obst.</t>
  </si>
  <si>
    <t>RA</t>
  </si>
  <si>
    <t>design 1/2 diam</t>
  </si>
  <si>
    <t>y2</t>
  </si>
  <si>
    <t>obst.</t>
  </si>
  <si>
    <t>R2</t>
  </si>
  <si>
    <t>r2</t>
  </si>
  <si>
    <t>f2'</t>
  </si>
  <si>
    <t>N2</t>
  </si>
  <si>
    <t>secondary mag.</t>
  </si>
  <si>
    <t>m2</t>
  </si>
  <si>
    <t>Layout</t>
  </si>
  <si>
    <t>mirror separation</t>
  </si>
  <si>
    <t>d1</t>
  </si>
  <si>
    <t>sec. prime focus dist.</t>
  </si>
  <si>
    <t>s2</t>
  </si>
  <si>
    <t>back f.l.</t>
  </si>
  <si>
    <t>s2'=L</t>
  </si>
  <si>
    <t>primary f.p. distance</t>
  </si>
  <si>
    <t>b</t>
  </si>
  <si>
    <t>P</t>
  </si>
  <si>
    <t>System</t>
  </si>
  <si>
    <t>e.f.l.</t>
  </si>
  <si>
    <t>f'</t>
  </si>
  <si>
    <t>system f/</t>
  </si>
  <si>
    <t>N'</t>
  </si>
  <si>
    <t>illuminated field size</t>
  </si>
  <si>
    <t>yF</t>
  </si>
  <si>
    <t>shielded field size</t>
  </si>
  <si>
    <t>yS</t>
  </si>
  <si>
    <t>angular field</t>
  </si>
  <si>
    <t>upr</t>
  </si>
  <si>
    <t>field semi-diam (deg)</t>
  </si>
  <si>
    <t>field diam (arc-min)</t>
  </si>
  <si>
    <t>Seidel coefficients &amp; aspheric parameters</t>
  </si>
  <si>
    <t>Classical</t>
  </si>
  <si>
    <t>b1</t>
  </si>
  <si>
    <t>b2</t>
  </si>
  <si>
    <t>zeta</t>
  </si>
  <si>
    <t>xi</t>
  </si>
  <si>
    <t>SII</t>
  </si>
  <si>
    <t>SIII</t>
  </si>
  <si>
    <t>Petzval R</t>
  </si>
  <si>
    <t>RC</t>
  </si>
  <si>
    <t>DK</t>
  </si>
  <si>
    <t>Baffle layout</t>
  </si>
  <si>
    <t>L1</t>
  </si>
  <si>
    <t>beta1</t>
  </si>
  <si>
    <t>alpha1</t>
  </si>
  <si>
    <t>L2</t>
  </si>
  <si>
    <t>beta2</t>
  </si>
  <si>
    <t>alpha2</t>
  </si>
  <si>
    <t>L3</t>
  </si>
  <si>
    <t>beta3</t>
  </si>
  <si>
    <t>alpha3</t>
  </si>
  <si>
    <t>L4</t>
  </si>
  <si>
    <t>beta4</t>
  </si>
  <si>
    <t>alpha4</t>
  </si>
  <si>
    <t>parameters for quadratic</t>
  </si>
  <si>
    <t>a</t>
  </si>
  <si>
    <t>c</t>
  </si>
  <si>
    <t>Roots</t>
  </si>
  <si>
    <t>y4</t>
  </si>
  <si>
    <t>Secondary baffle</t>
  </si>
  <si>
    <t>zB</t>
  </si>
  <si>
    <t>yB</t>
  </si>
  <si>
    <t>Primary baffle</t>
  </si>
  <si>
    <t>zP</t>
  </si>
  <si>
    <t>yP</t>
  </si>
  <si>
    <t>Reference points</t>
  </si>
  <si>
    <t>y</t>
  </si>
  <si>
    <t>F.P.</t>
  </si>
  <si>
    <t>Edge ray</t>
  </si>
  <si>
    <t>Edge return</t>
  </si>
  <si>
    <t>Stray light</t>
  </si>
  <si>
    <t>secondary baffle front</t>
  </si>
  <si>
    <t>secondary size</t>
  </si>
  <si>
    <t>secondary ray intercept</t>
  </si>
  <si>
    <t>primary baffle front</t>
  </si>
  <si>
    <t>field size</t>
  </si>
  <si>
    <t>shielded size</t>
  </si>
  <si>
    <t>Length</t>
  </si>
  <si>
    <t>Diameter</t>
  </si>
  <si>
    <t>Perforation</t>
  </si>
  <si>
    <t>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</si>
</sst>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.00000"/>
    <numFmt numFmtId="168" formatCode="0.000E+0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39"/>
      <name val="Arial"/>
      <family val="0"/>
    </font>
    <font>
      <sz val="10"/>
      <color indexed="1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4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165" fontId="4" fillId="0" borderId="0" xfId="0" applyNumberFormat="1" applyAlignment="1">
      <alignment/>
    </xf>
    <xf numFmtId="165" fontId="5" fillId="0" borderId="0" xfId="0" applyNumberFormat="1" applyAlignment="1">
      <alignment/>
    </xf>
    <xf numFmtId="2" fontId="5" fillId="0" borderId="0" xfId="0" applyNumberForma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72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'Baffles A'!$H$1:$H$1</c:f>
              <c:strCache>
                <c:ptCount val="1"/>
                <c:pt idx="0">
                  <c:v>Primary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A'!$G$2:$G$16</c:f>
              <c:numCache/>
            </c:numRef>
          </c:xVal>
          <c:yVal>
            <c:numRef>
              <c:f>'Baffles A'!$H$2:$H$16</c:f>
              <c:numCache/>
            </c:numRef>
          </c:yVal>
          <c:smooth val="0"/>
        </c:ser>
        <c:ser>
          <c:idx val="1"/>
          <c:order val="1"/>
          <c:tx>
            <c:strRef>
              <c:f>'Baffles A'!$I$1:$I$1</c:f>
              <c:strCache>
                <c:ptCount val="1"/>
                <c:pt idx="0">
                  <c:v>Secondary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A'!$G$2:$G$16</c:f>
              <c:numCache/>
            </c:numRef>
          </c:xVal>
          <c:yVal>
            <c:numRef>
              <c:f>'Baffles A'!$I$2:$I$16</c:f>
              <c:numCache/>
            </c:numRef>
          </c:yVal>
          <c:smooth val="0"/>
        </c:ser>
        <c:ser>
          <c:idx val="2"/>
          <c:order val="2"/>
          <c:tx>
            <c:strRef>
              <c:f>'Baffles A'!$J$1:$J$1</c:f>
              <c:strCache>
                <c:ptCount val="1"/>
                <c:pt idx="0">
                  <c:v>F.P.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A'!$G$2:$G$16</c:f>
              <c:numCache/>
            </c:numRef>
          </c:xVal>
          <c:yVal>
            <c:numRef>
              <c:f>'Baffles A'!$J$2:$J$16</c:f>
              <c:numCache/>
            </c:numRef>
          </c:yVal>
          <c:smooth val="0"/>
        </c:ser>
        <c:ser>
          <c:idx val="3"/>
          <c:order val="3"/>
          <c:tx>
            <c:strRef>
              <c:f>'Baffles A'!$K$1:$K$1</c:f>
              <c:strCache>
                <c:ptCount val="1"/>
                <c:pt idx="0">
                  <c:v>Secondary baffle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A'!$G$2:$G$16</c:f>
              <c:numCache/>
            </c:numRef>
          </c:xVal>
          <c:yVal>
            <c:numRef>
              <c:f>'Baffles A'!$K$2:$K$16</c:f>
              <c:numCache/>
            </c:numRef>
          </c:yVal>
          <c:smooth val="0"/>
        </c:ser>
        <c:ser>
          <c:idx val="4"/>
          <c:order val="4"/>
          <c:tx>
            <c:strRef>
              <c:f>'Baffles A'!$L$1:$L$1</c:f>
              <c:strCache>
                <c:ptCount val="1"/>
                <c:pt idx="0">
                  <c:v>Primary baffle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A'!$G$2:$G$16</c:f>
              <c:numCache/>
            </c:numRef>
          </c:xVal>
          <c:yVal>
            <c:numRef>
              <c:f>'Baffles A'!$L$2:$L$16</c:f>
              <c:numCache/>
            </c:numRef>
          </c:yVal>
          <c:smooth val="0"/>
        </c:ser>
        <c:ser>
          <c:idx val="5"/>
          <c:order val="5"/>
          <c:tx>
            <c:strRef>
              <c:f>'Baffles A'!$M$1:$M$1</c:f>
              <c:strCache>
                <c:ptCount val="1"/>
                <c:pt idx="0">
                  <c:v>Edge ray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A'!$G$2:$G$16</c:f>
              <c:numCache/>
            </c:numRef>
          </c:xVal>
          <c:yVal>
            <c:numRef>
              <c:f>'Baffles A'!$M$2:$M$16</c:f>
              <c:numCache/>
            </c:numRef>
          </c:yVal>
          <c:smooth val="0"/>
        </c:ser>
        <c:ser>
          <c:idx val="6"/>
          <c:order val="6"/>
          <c:tx>
            <c:strRef>
              <c:f>'Baffles A'!$N$1:$N$1</c:f>
              <c:strCache>
                <c:ptCount val="1"/>
                <c:pt idx="0">
                  <c:v>Edge return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A'!$G$2:$G$16</c:f>
              <c:numCache/>
            </c:numRef>
          </c:xVal>
          <c:yVal>
            <c:numRef>
              <c:f>'Baffles A'!$N$2:$N$16</c:f>
              <c:numCache/>
            </c:numRef>
          </c:yVal>
          <c:smooth val="0"/>
        </c:ser>
        <c:ser>
          <c:idx val="7"/>
          <c:order val="7"/>
          <c:tx>
            <c:strRef>
              <c:f>'Baffles A'!$O$1:$O$1</c:f>
              <c:strCache>
                <c:ptCount val="1"/>
                <c:pt idx="0">
                  <c:v>Stray light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A'!$G$2:$G$16</c:f>
              <c:numCache/>
            </c:numRef>
          </c:xVal>
          <c:yVal>
            <c:numRef>
              <c:f>'Baffles A'!$O$2:$O$16</c:f>
              <c:numCache/>
            </c:numRef>
          </c:yVal>
          <c:smooth val="0"/>
        </c:ser>
        <c:axId val="17580765"/>
        <c:axId val="24009158"/>
      </c:scatterChart>
      <c:valAx>
        <c:axId val="175807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009158"/>
        <c:crosses val="autoZero"/>
        <c:crossBetween val="midCat"/>
        <c:dispUnits/>
      </c:valAx>
      <c:valAx>
        <c:axId val="24009158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75807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720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'Baffles B'!$H$1</c:f>
              <c:strCache>
                <c:ptCount val="1"/>
                <c:pt idx="0">
                  <c:v>Primary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B'!$G$2:$G$16</c:f>
              <c:numCache/>
            </c:numRef>
          </c:xVal>
          <c:yVal>
            <c:numRef>
              <c:f>'Baffles B'!$H$2:$H$16</c:f>
              <c:numCache/>
            </c:numRef>
          </c:yVal>
          <c:smooth val="0"/>
        </c:ser>
        <c:ser>
          <c:idx val="1"/>
          <c:order val="1"/>
          <c:tx>
            <c:strRef>
              <c:f>'Baffles B'!$I$1</c:f>
              <c:strCache>
                <c:ptCount val="1"/>
                <c:pt idx="0">
                  <c:v>Secondary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B'!$G$2:$G$16</c:f>
              <c:numCache/>
            </c:numRef>
          </c:xVal>
          <c:yVal>
            <c:numRef>
              <c:f>'Baffles B'!$I$2:$I$16</c:f>
              <c:numCache/>
            </c:numRef>
          </c:yVal>
          <c:smooth val="0"/>
        </c:ser>
        <c:ser>
          <c:idx val="2"/>
          <c:order val="2"/>
          <c:tx>
            <c:strRef>
              <c:f>'Baffles B'!$J$1</c:f>
              <c:strCache>
                <c:ptCount val="1"/>
                <c:pt idx="0">
                  <c:v>F.P.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B'!$G$2:$G$16</c:f>
              <c:numCache/>
            </c:numRef>
          </c:xVal>
          <c:yVal>
            <c:numRef>
              <c:f>'Baffles B'!$J$2:$J$16</c:f>
              <c:numCache/>
            </c:numRef>
          </c:yVal>
          <c:smooth val="0"/>
        </c:ser>
        <c:ser>
          <c:idx val="3"/>
          <c:order val="3"/>
          <c:tx>
            <c:strRef>
              <c:f>'Baffles B'!$K$1</c:f>
              <c:strCache>
                <c:ptCount val="1"/>
                <c:pt idx="0">
                  <c:v>Secondary baffle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B'!$G$2:$G$16</c:f>
              <c:numCache/>
            </c:numRef>
          </c:xVal>
          <c:yVal>
            <c:numRef>
              <c:f>'Baffles B'!$K$2:$K$16</c:f>
              <c:numCache/>
            </c:numRef>
          </c:yVal>
          <c:smooth val="0"/>
        </c:ser>
        <c:ser>
          <c:idx val="4"/>
          <c:order val="4"/>
          <c:tx>
            <c:strRef>
              <c:f>'Baffles B'!$L$1</c:f>
              <c:strCache>
                <c:ptCount val="1"/>
                <c:pt idx="0">
                  <c:v>Primary baffle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B'!$G$2:$G$16</c:f>
              <c:numCache/>
            </c:numRef>
          </c:xVal>
          <c:yVal>
            <c:numRef>
              <c:f>'Baffles B'!$L$2:$L$16</c:f>
              <c:numCache/>
            </c:numRef>
          </c:yVal>
          <c:smooth val="0"/>
        </c:ser>
        <c:ser>
          <c:idx val="5"/>
          <c:order val="5"/>
          <c:tx>
            <c:strRef>
              <c:f>'Baffles B'!$M$1</c:f>
              <c:strCache>
                <c:ptCount val="1"/>
                <c:pt idx="0">
                  <c:v>Edge ray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B'!$G$2:$G$16</c:f>
              <c:numCache/>
            </c:numRef>
          </c:xVal>
          <c:yVal>
            <c:numRef>
              <c:f>'Baffles B'!$M$2:$M$16</c:f>
              <c:numCache/>
            </c:numRef>
          </c:yVal>
          <c:smooth val="0"/>
        </c:ser>
        <c:ser>
          <c:idx val="6"/>
          <c:order val="6"/>
          <c:tx>
            <c:strRef>
              <c:f>'Baffles B'!$N$1</c:f>
              <c:strCache>
                <c:ptCount val="1"/>
                <c:pt idx="0">
                  <c:v>Edge return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B'!$G$2:$G$16</c:f>
              <c:numCache/>
            </c:numRef>
          </c:xVal>
          <c:yVal>
            <c:numRef>
              <c:f>'Baffles B'!$N$2:$N$16</c:f>
              <c:numCache/>
            </c:numRef>
          </c:yVal>
          <c:smooth val="0"/>
        </c:ser>
        <c:ser>
          <c:idx val="7"/>
          <c:order val="7"/>
          <c:tx>
            <c:strRef>
              <c:f>'Baffles B'!$O$1</c:f>
              <c:strCache>
                <c:ptCount val="1"/>
                <c:pt idx="0">
                  <c:v>Stray light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'Baffles B'!$G$2:$G$16</c:f>
              <c:numCache/>
            </c:numRef>
          </c:xVal>
          <c:yVal>
            <c:numRef>
              <c:f>'Baffles B'!$O$2:$O$16</c:f>
              <c:numCache/>
            </c:numRef>
          </c:yVal>
          <c:smooth val="0"/>
        </c:ser>
        <c:axId val="14755831"/>
        <c:axId val="65693616"/>
      </c:scatterChart>
      <c:valAx>
        <c:axId val="147558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693616"/>
        <c:crosses val="autoZero"/>
        <c:crossBetween val="midCat"/>
        <c:dispUnits/>
      </c:valAx>
      <c:valAx>
        <c:axId val="65693616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47558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12</xdr:col>
      <xdr:colOff>304800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2438400" y="3076575"/>
        <a:ext cx="59721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13</xdr:col>
      <xdr:colOff>495300</xdr:colOff>
      <xdr:row>58</xdr:row>
      <xdr:rowOff>38100</xdr:rowOff>
    </xdr:to>
    <xdr:graphicFrame>
      <xdr:nvGraphicFramePr>
        <xdr:cNvPr id="1" name="Chart 2"/>
        <xdr:cNvGraphicFramePr/>
      </xdr:nvGraphicFramePr>
      <xdr:xfrm>
        <a:off x="2438400" y="2914650"/>
        <a:ext cx="59817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8.7109375" style="0" customWidth="1"/>
    <col min="2" max="2" width="11.421875" style="0" customWidth="1"/>
    <col min="3" max="3" width="10.57421875" style="5" customWidth="1"/>
    <col min="4" max="4" width="11.140625" style="0" customWidth="1"/>
    <col min="5" max="6" width="8.421875" style="0" customWidth="1"/>
  </cols>
  <sheetData>
    <row r="1" ht="12.75">
      <c r="A1" s="1" t="s">
        <v>0</v>
      </c>
    </row>
    <row r="2" ht="12.75"/>
    <row r="3" spans="1:2" ht="12.75">
      <c r="A3" t="s">
        <v>1</v>
      </c>
      <c r="B3" t="s">
        <v>2</v>
      </c>
    </row>
    <row r="4" ht="12.75">
      <c r="E4" t="s">
        <v>3</v>
      </c>
    </row>
    <row r="5" spans="1:6" ht="25.5">
      <c r="A5" s="1" t="s">
        <v>4</v>
      </c>
      <c r="C5" s="6" t="s">
        <v>5</v>
      </c>
      <c r="D5" s="9" t="s">
        <v>6</v>
      </c>
      <c r="E5" t="s">
        <v>7</v>
      </c>
      <c r="F5" t="s">
        <v>8</v>
      </c>
    </row>
    <row r="6" spans="1:6" ht="12.75">
      <c r="A6" t="s">
        <v>9</v>
      </c>
      <c r="B6" t="s">
        <v>10</v>
      </c>
      <c r="C6" s="4">
        <v>100</v>
      </c>
      <c r="D6" s="13">
        <v>100</v>
      </c>
      <c r="E6" t="s">
        <v>11</v>
      </c>
      <c r="F6" t="s">
        <v>11</v>
      </c>
    </row>
    <row r="7" spans="1:6" ht="12.75">
      <c r="A7" t="s">
        <v>12</v>
      </c>
      <c r="B7" t="s">
        <v>13</v>
      </c>
      <c r="C7" s="7">
        <f>2*C8</f>
        <v>-1000</v>
      </c>
      <c r="D7" s="13">
        <v>-1600</v>
      </c>
      <c r="E7" t="s">
        <v>14</v>
      </c>
      <c r="F7" t="s">
        <v>14</v>
      </c>
    </row>
    <row r="8" spans="1:4" ht="12.75">
      <c r="A8" t="s">
        <v>15</v>
      </c>
      <c r="B8" t="s">
        <v>16</v>
      </c>
      <c r="C8" s="7">
        <f>-2*C9*C6</f>
        <v>-500</v>
      </c>
      <c r="D8" s="7">
        <f>D7/2</f>
        <v>-800</v>
      </c>
    </row>
    <row r="9" spans="1:6" ht="12.75">
      <c r="A9" t="s">
        <v>17</v>
      </c>
      <c r="B9" t="s">
        <v>18</v>
      </c>
      <c r="C9" s="4">
        <v>2.5</v>
      </c>
      <c r="D9" s="7">
        <f>-D8/(2*D6)</f>
        <v>4</v>
      </c>
      <c r="E9" t="s">
        <v>11</v>
      </c>
      <c r="F9" t="s">
        <v>11</v>
      </c>
    </row>
    <row r="10" ht="12.75"/>
    <row r="11" ht="12.75">
      <c r="A11" s="1" t="s">
        <v>19</v>
      </c>
    </row>
    <row r="12" spans="1:4" ht="12.75">
      <c r="A12" t="s">
        <v>20</v>
      </c>
      <c r="B12" t="s">
        <v>21</v>
      </c>
      <c r="C12" s="7">
        <f>C6*C13</f>
        <v>28.000000000000004</v>
      </c>
      <c r="D12" s="7">
        <f>D6*D13</f>
        <v>25.00208333333333</v>
      </c>
    </row>
    <row r="13" spans="1:4" ht="12.75">
      <c r="A13" t="s">
        <v>22</v>
      </c>
      <c r="B13" t="s">
        <v>23</v>
      </c>
      <c r="C13" s="2">
        <f>C23/C8</f>
        <v>0.28</v>
      </c>
      <c r="D13" s="2">
        <f>D23/D8</f>
        <v>0.2500208333333333</v>
      </c>
    </row>
    <row r="14" spans="1:6" ht="12.75">
      <c r="A14" t="s">
        <v>24</v>
      </c>
      <c r="B14" t="s">
        <v>25</v>
      </c>
      <c r="C14" s="7">
        <f>C12-C22*C33</f>
        <v>31.600000000000005</v>
      </c>
      <c r="D14" s="13">
        <v>29</v>
      </c>
      <c r="E14" t="s">
        <v>11</v>
      </c>
      <c r="F14" t="s">
        <v>14</v>
      </c>
    </row>
    <row r="15" spans="1:4" ht="12.75">
      <c r="A15" t="s">
        <v>26</v>
      </c>
      <c r="B15" t="s">
        <v>27</v>
      </c>
      <c r="C15" s="2">
        <f>C14/C6</f>
        <v>0.31600000000000006</v>
      </c>
      <c r="D15" s="2">
        <f>D14/D6</f>
        <v>0.29</v>
      </c>
    </row>
    <row r="16" spans="1:6" ht="12.75">
      <c r="A16" t="s">
        <v>12</v>
      </c>
      <c r="B16" t="s">
        <v>28</v>
      </c>
      <c r="C16" s="7">
        <f>2*C17</f>
        <v>-373.3333333333333</v>
      </c>
      <c r="D16" s="13">
        <v>-545.5</v>
      </c>
      <c r="E16" t="s">
        <v>14</v>
      </c>
      <c r="F16" t="s">
        <v>11</v>
      </c>
    </row>
    <row r="17" spans="1:4" ht="12.75">
      <c r="A17" t="s">
        <v>15</v>
      </c>
      <c r="B17" t="s">
        <v>29</v>
      </c>
      <c r="C17" s="7">
        <f>C26*C19/(C19^2-1)</f>
        <v>-186.66666666666666</v>
      </c>
      <c r="D17" s="7">
        <f>D16/2</f>
        <v>-272.75</v>
      </c>
    </row>
    <row r="18" spans="1:4" ht="12.75">
      <c r="A18" t="s">
        <v>17</v>
      </c>
      <c r="B18" t="s">
        <v>30</v>
      </c>
      <c r="C18" s="7">
        <f>C17/2/C14</f>
        <v>-2.953586497890295</v>
      </c>
      <c r="D18" s="7">
        <f>D17/2/D14</f>
        <v>-4.702586206896552</v>
      </c>
    </row>
    <row r="19" spans="1:6" ht="12.75">
      <c r="A19" t="s">
        <v>31</v>
      </c>
      <c r="B19" t="s">
        <v>32</v>
      </c>
      <c r="C19" s="3">
        <f>C29/C8</f>
        <v>-4</v>
      </c>
      <c r="D19" s="12">
        <v>-3.75</v>
      </c>
      <c r="E19" t="s">
        <v>14</v>
      </c>
      <c r="F19" t="s">
        <v>11</v>
      </c>
    </row>
    <row r="20" ht="12.75"/>
    <row r="21" ht="12.75">
      <c r="A21" s="1" t="s">
        <v>33</v>
      </c>
    </row>
    <row r="22" spans="1:4" ht="12.75">
      <c r="A22" t="s">
        <v>34</v>
      </c>
      <c r="B22" t="s">
        <v>35</v>
      </c>
      <c r="C22" s="7">
        <f>C25-C24</f>
        <v>-360</v>
      </c>
      <c r="D22" s="7">
        <f>D8-D23</f>
        <v>-599.9833333333333</v>
      </c>
    </row>
    <row r="23" spans="1:4" ht="12.75">
      <c r="A23" t="s">
        <v>36</v>
      </c>
      <c r="B23" t="s">
        <v>37</v>
      </c>
      <c r="C23" s="7">
        <f>C24-C26</f>
        <v>-140</v>
      </c>
      <c r="D23" s="7">
        <f>D26/(D19-1)</f>
        <v>-200.01666666666665</v>
      </c>
    </row>
    <row r="24" spans="1:4" ht="12.75">
      <c r="A24" t="s">
        <v>38</v>
      </c>
      <c r="B24" t="s">
        <v>39</v>
      </c>
      <c r="C24" s="7">
        <f>C17*(C19+1)</f>
        <v>560</v>
      </c>
      <c r="D24" s="7">
        <f>D19*D23</f>
        <v>750.0625</v>
      </c>
    </row>
    <row r="25" spans="1:4" ht="12.75">
      <c r="A25" t="s">
        <v>40</v>
      </c>
      <c r="B25" t="s">
        <v>41</v>
      </c>
      <c r="C25" s="4">
        <v>200</v>
      </c>
      <c r="D25" s="7">
        <f>D26+D23+D22</f>
        <v>150.07916666666665</v>
      </c>
    </row>
    <row r="26" spans="2:4" ht="12.75">
      <c r="B26" t="s">
        <v>42</v>
      </c>
      <c r="C26" s="7">
        <f>C25-C8</f>
        <v>700</v>
      </c>
      <c r="D26" s="7">
        <f>D17*(D19^2-1)/D19</f>
        <v>950.0791666666667</v>
      </c>
    </row>
    <row r="27" ht="12.75"/>
    <row r="28" ht="12.75">
      <c r="A28" t="s">
        <v>43</v>
      </c>
    </row>
    <row r="29" spans="1:4" ht="12.75">
      <c r="A29" t="s">
        <v>44</v>
      </c>
      <c r="B29" t="s">
        <v>45</v>
      </c>
      <c r="C29" s="7">
        <f>2*C6*C30</f>
        <v>2000</v>
      </c>
      <c r="D29" s="7">
        <f>D19*D8</f>
        <v>3000</v>
      </c>
    </row>
    <row r="30" spans="1:6" ht="12.75">
      <c r="A30" t="s">
        <v>46</v>
      </c>
      <c r="B30" t="s">
        <v>47</v>
      </c>
      <c r="C30" s="11">
        <v>10</v>
      </c>
      <c r="D30" s="3">
        <f>D29/(2*D6)</f>
        <v>15</v>
      </c>
      <c r="E30" t="s">
        <v>11</v>
      </c>
      <c r="F30" t="s">
        <v>14</v>
      </c>
    </row>
    <row r="31" spans="1:6" ht="12.75">
      <c r="A31" t="s">
        <v>48</v>
      </c>
      <c r="B31" t="s">
        <v>49</v>
      </c>
      <c r="C31" s="4">
        <v>20</v>
      </c>
      <c r="D31" s="7">
        <f>-(D14-D12)*ABS(D29)/D22</f>
        <v>19.990138614961534</v>
      </c>
      <c r="E31" t="s">
        <v>11</v>
      </c>
      <c r="F31" t="s">
        <v>14</v>
      </c>
    </row>
    <row r="32" spans="1:6" ht="12.75">
      <c r="A32" t="s">
        <v>50</v>
      </c>
      <c r="B32" t="s">
        <v>51</v>
      </c>
      <c r="C32" s="4">
        <v>-20</v>
      </c>
      <c r="D32" s="4">
        <v>20</v>
      </c>
      <c r="F32" t="s">
        <v>106</v>
      </c>
    </row>
    <row r="33" spans="1:4" ht="12.75">
      <c r="A33" t="s">
        <v>52</v>
      </c>
      <c r="B33" t="s">
        <v>53</v>
      </c>
      <c r="C33" s="10">
        <f>C31/C29</f>
        <v>0.01</v>
      </c>
      <c r="D33" s="10">
        <f>D31/D29</f>
        <v>0.006663379538320511</v>
      </c>
    </row>
    <row r="34" spans="1:4" ht="12.75">
      <c r="A34" t="s">
        <v>54</v>
      </c>
      <c r="C34" s="3">
        <f>C35/120</f>
        <v>0.5729583333333333</v>
      </c>
      <c r="D34" s="3">
        <f>D35/120</f>
        <v>0.3817838834643556</v>
      </c>
    </row>
    <row r="35" spans="1:4" ht="12.75">
      <c r="A35" t="s">
        <v>55</v>
      </c>
      <c r="C35" s="5">
        <f>206265/30*ABS(C33)</f>
        <v>68.755</v>
      </c>
      <c r="D35" s="5">
        <f>206265/30*ABS(D33)</f>
        <v>45.81406601572267</v>
      </c>
    </row>
    <row r="37" ht="12.75">
      <c r="A37" s="1" t="s">
        <v>56</v>
      </c>
    </row>
    <row r="39" ht="12.75">
      <c r="A39" t="s">
        <v>57</v>
      </c>
    </row>
    <row r="40" spans="2:4" ht="12.75">
      <c r="B40" t="s">
        <v>58</v>
      </c>
      <c r="C40" s="3">
        <v>-1</v>
      </c>
      <c r="D40" s="3">
        <v>-1</v>
      </c>
    </row>
    <row r="41" spans="2:4" ht="12.75">
      <c r="B41" t="s">
        <v>59</v>
      </c>
      <c r="C41" s="3">
        <f>-((C19-1)/(C19+1))^2</f>
        <v>-2.777777777777778</v>
      </c>
      <c r="D41" s="3">
        <f>-((D19-1)/(D19+1))^2</f>
        <v>-2.9834710743801653</v>
      </c>
    </row>
    <row r="42" ht="12.75">
      <c r="D42" s="5"/>
    </row>
    <row r="43" spans="2:4" ht="12.75">
      <c r="B43" t="s">
        <v>60</v>
      </c>
      <c r="C43" s="5">
        <f>(C$19^3)/4*(1+C40)</f>
        <v>0</v>
      </c>
      <c r="D43" s="5">
        <f>(D$19^3)/4*(1+D40)</f>
        <v>0</v>
      </c>
    </row>
    <row r="44" spans="2:4" ht="12.75">
      <c r="B44" t="s">
        <v>61</v>
      </c>
      <c r="C44" s="5">
        <f>((C$19+1)^3)/4*(((C$19-1)/(C$19+1))^2+C41)</f>
        <v>0</v>
      </c>
      <c r="D44" s="5">
        <f>((D$19+1)^3)/4*(((D$19-1)/(D$19+1))^2+D41)</f>
        <v>0</v>
      </c>
    </row>
    <row r="45" spans="2:4" ht="12.75">
      <c r="B45" t="s">
        <v>62</v>
      </c>
      <c r="C45" s="10">
        <f>(C$6/C$29)^3*(-C$22*C44-C$29/2)*C$33</f>
        <v>-0.0012500000000000002</v>
      </c>
      <c r="D45" s="10">
        <f>(D$6/D$29)^3*(-D$22*D44-D$29/2)*D$33</f>
        <v>-0.00037018775212891726</v>
      </c>
    </row>
    <row r="46" spans="2:4" ht="12.75">
      <c r="B46" t="s">
        <v>63</v>
      </c>
      <c r="C46" s="10">
        <f>(C$6/C$29)^2*(C$29*(C$29+C$22)/C$24+C$22^2*C44/C$24)*C$33^2</f>
        <v>0.0014642857142857146</v>
      </c>
      <c r="D46" s="10">
        <f>(D$6/D$29)^2*(D$29*(D$29+D$22)/D$24+D$22^2*D44/D$24)*D$33^2</f>
        <v>0.00047357051135760105</v>
      </c>
    </row>
    <row r="47" spans="2:4" ht="12.75">
      <c r="B47" t="s">
        <v>64</v>
      </c>
      <c r="C47" s="10">
        <f>1/(1/C$17-1/C$8)</f>
        <v>-297.8723404255319</v>
      </c>
      <c r="D47" s="10">
        <f>1/(1/D$17-1/D$8)</f>
        <v>-413.8454243717402</v>
      </c>
    </row>
    <row r="48" spans="1:4" ht="12.75">
      <c r="A48" t="s">
        <v>65</v>
      </c>
      <c r="D48" s="5"/>
    </row>
    <row r="49" spans="2:4" ht="12.75">
      <c r="B49" t="s">
        <v>58</v>
      </c>
      <c r="C49" s="3">
        <f>-1-2*C24/C22/C19^3</f>
        <v>-1.0486111111111112</v>
      </c>
      <c r="D49" s="3">
        <f>-1-2*D24/D22/D19^3</f>
        <v>-1.0474126750434425</v>
      </c>
    </row>
    <row r="50" spans="2:4" ht="12.75">
      <c r="B50" t="s">
        <v>59</v>
      </c>
      <c r="C50" s="3">
        <f>C41-2*C29/C22/((C19+1)^3)</f>
        <v>-3.189300411522634</v>
      </c>
      <c r="D50" s="3">
        <f>D41-2*D29/D22/((D19+1)^3)</f>
        <v>-3.4643259040357766</v>
      </c>
    </row>
    <row r="51" ht="12.75">
      <c r="D51" s="5"/>
    </row>
    <row r="52" spans="2:4" ht="12.75">
      <c r="B52" t="s">
        <v>60</v>
      </c>
      <c r="C52" s="5">
        <f>(C$19^3)/4*(1+C49)</f>
        <v>0.7777777777777786</v>
      </c>
      <c r="D52" s="5">
        <f>(D$19^3)/4*(1+D49)</f>
        <v>0.6250694463735094</v>
      </c>
    </row>
    <row r="53" spans="2:4" ht="12.75">
      <c r="B53" t="s">
        <v>61</v>
      </c>
      <c r="C53" s="5">
        <f>((C$19+1)^3)/4*(((C$19-1)/(C$19+1))^2+C50)</f>
        <v>2.7777777777777772</v>
      </c>
      <c r="D53" s="5">
        <f>((D$19+1)^3)/4*(((D$19-1)/(D$19+1))^2+D50)</f>
        <v>2.50006944637351</v>
      </c>
    </row>
    <row r="54" spans="2:4" ht="12.75">
      <c r="B54" t="s">
        <v>62</v>
      </c>
      <c r="C54" s="10">
        <f>(C$6/C$29)^3*(-C$22*C53-C$29/2)*C$33</f>
        <v>-2.8421709430404015E-19</v>
      </c>
      <c r="D54" s="10">
        <f>(D$6/D$29)^3*(-D$22*D53-D$29/2)*D$33</f>
        <v>-5.611396653708005E-20</v>
      </c>
    </row>
    <row r="55" spans="2:4" ht="12.75">
      <c r="B55" t="s">
        <v>63</v>
      </c>
      <c r="C55" s="10">
        <f>(C$6/C$29)^2*(C$29*(C$29+C$22)/C$24+C$22^2*C53/C$24)*C$33^2</f>
        <v>0.0016250000000000004</v>
      </c>
      <c r="D55" s="10">
        <f>(D$6/D$29)^2*(D$29*(D$29+D$22)/D$24+D$22^2*D53/D$24)*D$33^2</f>
        <v>0.0005327647698640082</v>
      </c>
    </row>
    <row r="56" spans="2:4" ht="12.75">
      <c r="B56" t="s">
        <v>64</v>
      </c>
      <c r="C56" s="10">
        <f>1/(1/C$17-1/C$8)</f>
        <v>-297.8723404255319</v>
      </c>
      <c r="D56" s="10">
        <f>1/(1/D$17-1/D$8)</f>
        <v>-413.8454243717402</v>
      </c>
    </row>
    <row r="57" spans="1:4" ht="12.75">
      <c r="A57" t="s">
        <v>66</v>
      </c>
      <c r="D57" s="5"/>
    </row>
    <row r="58" spans="2:4" ht="12.75">
      <c r="B58" t="s">
        <v>58</v>
      </c>
      <c r="C58" s="3">
        <f>-1+C24/C29*(C19+1)*(C19-1)^2/C19^3</f>
        <v>-0.671875</v>
      </c>
      <c r="D58" s="3">
        <f>-1+D24/D29*(D19+1)*(D19-1)^2/D19^3</f>
        <v>-0.7058273395061728</v>
      </c>
    </row>
    <row r="59" spans="2:4" ht="12.75">
      <c r="B59" t="s">
        <v>59</v>
      </c>
      <c r="C59" s="3">
        <v>0</v>
      </c>
      <c r="D59" s="3">
        <v>0</v>
      </c>
    </row>
    <row r="60" ht="12.75">
      <c r="D60" s="5"/>
    </row>
    <row r="61" spans="2:4" ht="12.75">
      <c r="B61" t="s">
        <v>60</v>
      </c>
      <c r="C61" s="5">
        <f>(C$19^3)/4*(1+C58)</f>
        <v>-5.25</v>
      </c>
      <c r="D61" s="5">
        <f>(D$19^3)/4*(1+D58)</f>
        <v>-3.878252848307292</v>
      </c>
    </row>
    <row r="62" spans="2:4" ht="12.75">
      <c r="B62" t="s">
        <v>61</v>
      </c>
      <c r="C62" s="5">
        <f>((C$19+1)^3)/4*(((C$19-1)/(C$19+1))^2+C59)</f>
        <v>-18.750000000000004</v>
      </c>
      <c r="D62" s="5">
        <f>((D$19+1)^3)/4*(((D$19-1)/(D$19+1))^2+D59)</f>
        <v>-15.51171875</v>
      </c>
    </row>
    <row r="63" spans="2:4" ht="12.75">
      <c r="B63" t="s">
        <v>62</v>
      </c>
      <c r="C63" s="10">
        <f>(C$6/C$29)^3*(-C$22*C62-C$29/2)*C$33</f>
        <v>-0.009687500000000003</v>
      </c>
      <c r="D63" s="10">
        <f>(D$6/D$29)^3*(-D$22*D62-D$29/2)*D$33</f>
        <v>-0.0026670232676574675</v>
      </c>
    </row>
    <row r="64" spans="2:4" ht="12.75">
      <c r="B64" t="s">
        <v>63</v>
      </c>
      <c r="C64" s="10">
        <f>(C$6/C$29)^2*(C$29*(C$29+C$22)/C$24+C$22^2*C62/C$24)*C$33^2</f>
        <v>0.00037946428571428566</v>
      </c>
      <c r="D64" s="10">
        <f>(D$6/D$29)^2*(D$29*(D$29+D$22)/D$24+D$22^2*D62/D$24)*D$33^2</f>
        <v>0.00010629883780545627</v>
      </c>
    </row>
    <row r="65" spans="2:4" ht="12.75">
      <c r="B65" t="s">
        <v>64</v>
      </c>
      <c r="C65" s="10">
        <f>1/(1/C$17-1/C$8)</f>
        <v>-297.8723404255319</v>
      </c>
      <c r="D65" s="10">
        <f>1/(1/D$17-1/D$8)</f>
        <v>-413.8454243717402</v>
      </c>
    </row>
    <row r="68" ht="12.75">
      <c r="C68" s="3"/>
    </row>
    <row r="69" ht="12.75">
      <c r="C69" s="3"/>
    </row>
    <row r="75" ht="12.75">
      <c r="C75" s="8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9">
      <selection activeCell="A43" sqref="A43"/>
    </sheetView>
  </sheetViews>
  <sheetFormatPr defaultColWidth="9.140625" defaultRowHeight="12.75"/>
  <cols>
    <col min="5" max="5" width="21.00390625" style="0" customWidth="1"/>
  </cols>
  <sheetData>
    <row r="1" spans="1:18" ht="25.5">
      <c r="A1" s="1" t="s">
        <v>67</v>
      </c>
      <c r="E1" s="9" t="s">
        <v>91</v>
      </c>
      <c r="F1" s="9"/>
      <c r="G1" s="9" t="s">
        <v>92</v>
      </c>
      <c r="H1" s="9" t="s">
        <v>4</v>
      </c>
      <c r="I1" s="9" t="s">
        <v>19</v>
      </c>
      <c r="J1" s="9" t="s">
        <v>93</v>
      </c>
      <c r="K1" s="9" t="s">
        <v>85</v>
      </c>
      <c r="L1" s="9" t="s">
        <v>88</v>
      </c>
      <c r="M1" s="9" t="s">
        <v>94</v>
      </c>
      <c r="N1" s="9" t="s">
        <v>95</v>
      </c>
      <c r="O1" s="9" t="s">
        <v>96</v>
      </c>
      <c r="P1" s="9" t="s">
        <v>94</v>
      </c>
      <c r="Q1" s="9" t="s">
        <v>95</v>
      </c>
      <c r="R1" s="9" t="s">
        <v>96</v>
      </c>
    </row>
    <row r="2" spans="7:18" ht="12.75">
      <c r="G2">
        <f>'Telescope description'!C6</f>
        <v>100</v>
      </c>
      <c r="H2">
        <f>G2^2/2/'Telescope description'!C$7</f>
        <v>-5</v>
      </c>
      <c r="I2" t="e">
        <f>IF(ABS(G2)&gt;F$4,NA(),+'Telescope description'!C$22+G2^2/2/'Telescope description'!C$16)</f>
        <v>#N/A</v>
      </c>
      <c r="J2" t="e">
        <f>IF(ABS(G2)&gt;MAX(F$7,F$8),NA(),'Telescope description'!C$25)</f>
        <v>#N/A</v>
      </c>
      <c r="K2" t="e">
        <f>IF(ABS(G2)&gt;F$3,NA(),(IF(ABS(G2)&lt;=F$4,I2,'Telescope description'!C$22+(ABS(G2)-F$4)/(F$3-F$4)*(B$29-'Telescope description'!C$22))))</f>
        <v>#N/A</v>
      </c>
      <c r="L2" t="e">
        <f>IF(ABS(G2)&gt;F$3,NA(),IF(ABS(G2)&lt;=F$6,B$36,(ABS(G2)-F$3)/(F$6-F$3)*B$36))</f>
        <v>#N/A</v>
      </c>
      <c r="M2">
        <f>IF(AND(P2&lt;=0,P2&gt;='Telescope description'!C$22),P2,NA())</f>
        <v>0</v>
      </c>
      <c r="N2" t="e">
        <f>IF(AND(Q2&lt;='Telescope description'!C$25,Q2&gt;='Telescope description'!C$22),Q2,NA())</f>
        <v>#N/A</v>
      </c>
      <c r="O2" t="e">
        <f>IF(AND(R2&lt;='Telescope description'!C$25,R2&gt;='Telescope description'!C$22),R2,NA())</f>
        <v>#N/A</v>
      </c>
      <c r="P2">
        <f aca="true" t="shared" si="0" ref="P2:P16">(G2-B$5)/B$4</f>
        <v>0</v>
      </c>
      <c r="Q2">
        <f aca="true" t="shared" si="1" ref="Q2:Q16">(G2-B$10)/B$9</f>
        <v>-3662.06896551724</v>
      </c>
      <c r="R2">
        <f>(G2-B$18)/B$17</f>
        <v>-702.8452303915781</v>
      </c>
    </row>
    <row r="3" spans="1:18" ht="12.75">
      <c r="A3" s="1" t="s">
        <v>68</v>
      </c>
      <c r="E3" t="s">
        <v>97</v>
      </c>
      <c r="F3">
        <f>ABS(B30)+0.0001</f>
        <v>45.03392515119539</v>
      </c>
      <c r="G3">
        <f>LARGE(F$3:F$8,1)</f>
        <v>45.03392515119539</v>
      </c>
      <c r="H3">
        <f>G3^2/2/'Telescope description'!C$7</f>
        <v>-1.0140272072617345</v>
      </c>
      <c r="I3" t="e">
        <f>IF(ABS(G3)&gt;F$4,NA(),+'Telescope description'!C$22+G3^2/2/'Telescope description'!C$16)</f>
        <v>#N/A</v>
      </c>
      <c r="J3" t="e">
        <f>IF(ABS(G3)&gt;MAX(F$7,F$8),NA(),'Telescope description'!C$25)</f>
        <v>#N/A</v>
      </c>
      <c r="K3">
        <f>IF(ABS(G3)&gt;F$3,NA(),(IF(ABS(G3)&lt;=F$4,I3,'Telescope description'!C$22+(ABS(G3)-F$4)/(F$3-F$4)*(B$29-'Telescope description'!C$22))))</f>
        <v>-289.2956570989717</v>
      </c>
      <c r="L3">
        <f aca="true" t="shared" si="2" ref="L3:L16">IF(ABS(G3)&gt;F$3,NA(),IF(ABS(G3)&lt;=F$6,B$36,(ABS(G3)-F$3)/(F$6-F$3)*B$36))</f>
        <v>0</v>
      </c>
      <c r="M3">
        <f>IF(AND(P3&lt;=0,P3&gt;='Telescope description'!C$22),P3,NA())</f>
        <v>-289.2951307831822</v>
      </c>
      <c r="N3" t="e">
        <f>IF(AND(Q3&lt;='Telescope description'!C$25,Q3&gt;='Telescope description'!C$22),Q3,NA())</f>
        <v>#N/A</v>
      </c>
      <c r="O3">
        <f>IF(AND(R3&lt;='Telescope description'!C$25,R3&gt;='Telescope description'!C$22),R3,NA())</f>
        <v>-289.29640946999706</v>
      </c>
      <c r="P3">
        <f t="shared" si="0"/>
        <v>-289.2951307831822</v>
      </c>
      <c r="Q3">
        <f t="shared" si="1"/>
        <v>-1008.534317643915</v>
      </c>
      <c r="R3">
        <f aca="true" t="shared" si="3" ref="R3:R16">(G3-B$18)/B$17</f>
        <v>-289.29640946999706</v>
      </c>
    </row>
    <row r="4" spans="1:18" ht="12.75">
      <c r="A4" t="s">
        <v>69</v>
      </c>
      <c r="B4">
        <f>('Telescope description'!C$14-'Telescope description'!C$6)/'Telescope description'!C$22</f>
        <v>0.18999999999999997</v>
      </c>
      <c r="E4" t="s">
        <v>98</v>
      </c>
      <c r="F4">
        <f>ABS('Telescope description'!C14)</f>
        <v>31.600000000000005</v>
      </c>
      <c r="G4">
        <f>LARGE(F$3:F$8,2)</f>
        <v>31.60000000000001</v>
      </c>
      <c r="H4">
        <f>G4^2/2/'Telescope description'!C$7</f>
        <v>-0.4992800000000003</v>
      </c>
      <c r="I4">
        <f>IF(ABS(G4)&gt;F$4,NA(),+'Telescope description'!C$22+G4^2/2/'Telescope description'!C$16)</f>
        <v>-361.3373571428571</v>
      </c>
      <c r="J4" t="e">
        <f>IF(ABS(G4)&gt;MAX(F$7,F$8),NA(),'Telescope description'!C$25)</f>
        <v>#N/A</v>
      </c>
      <c r="K4">
        <f>IF(ABS(G4)&gt;F$3,NA(),(IF(ABS(G4)&lt;=F$4,I4,'Telescope description'!C$22+(ABS(G4)-F$4)/(F$3-F$4)*(B$29-'Telescope description'!C$22))))</f>
        <v>-361.3373571428571</v>
      </c>
      <c r="L4">
        <f t="shared" si="2"/>
        <v>-119.13040092548005</v>
      </c>
      <c r="M4">
        <f>IF(AND(P4&lt;=0,P4&gt;='Telescope description'!C$22),P4,NA())</f>
        <v>-360</v>
      </c>
      <c r="N4">
        <f>IF(AND(Q4&lt;='Telescope description'!C$25,Q4&gt;='Telescope description'!C$22),Q4,NA())</f>
        <v>-360.0000000000003</v>
      </c>
      <c r="O4">
        <f>IF(AND(R4&lt;='Telescope description'!C$25,R4&gt;='Telescope description'!C$22),R4,NA())</f>
        <v>-188.22344906837864</v>
      </c>
      <c r="P4">
        <f t="shared" si="0"/>
        <v>-360</v>
      </c>
      <c r="Q4">
        <f t="shared" si="1"/>
        <v>-360.0000000000003</v>
      </c>
      <c r="R4">
        <f t="shared" si="3"/>
        <v>-188.22344906837864</v>
      </c>
    </row>
    <row r="5" spans="1:18" ht="12.75">
      <c r="A5" t="s">
        <v>70</v>
      </c>
      <c r="B5">
        <f>'Telescope description'!C$6</f>
        <v>100</v>
      </c>
      <c r="E5" t="s">
        <v>99</v>
      </c>
      <c r="F5">
        <f>ABS(B6)</f>
        <v>31.60000000000001</v>
      </c>
      <c r="G5">
        <f>LARGE(F$3:F$8,3)</f>
        <v>31.600000000000005</v>
      </c>
      <c r="H5">
        <f>G5^2/2/'Telescope description'!C$7</f>
        <v>-0.49928000000000017</v>
      </c>
      <c r="I5">
        <f>IF(ABS(G5)&gt;F$4,NA(),+'Telescope description'!C$22+G5^2/2/'Telescope description'!C$16)</f>
        <v>-361.3373571428571</v>
      </c>
      <c r="J5" t="e">
        <f>IF(ABS(G5)&gt;MAX(F$7,F$8),NA(),'Telescope description'!C$25)</f>
        <v>#N/A</v>
      </c>
      <c r="K5">
        <f>IF(ABS(G5)&gt;F$3,NA(),(IF(ABS(G5)&lt;=F$4,I5,'Telescope description'!C$22+(ABS(G5)-F$4)/(F$3-F$4)*(B$29-'Telescope description'!C$22))))</f>
        <v>-361.3373571428571</v>
      </c>
      <c r="L5">
        <f t="shared" si="2"/>
        <v>-119.13040092548007</v>
      </c>
      <c r="M5">
        <f>IF(AND(P5&lt;=0,P5&gt;='Telescope description'!C$22),P5,NA())</f>
        <v>-360</v>
      </c>
      <c r="N5">
        <f>IF(AND(Q5&lt;='Telescope description'!C$25,Q5&gt;='Telescope description'!C$22),Q5,NA())</f>
        <v>-360.0000000000001</v>
      </c>
      <c r="O5">
        <f>IF(AND(R5&lt;='Telescope description'!C$25,R5&gt;='Telescope description'!C$22),R5,NA())</f>
        <v>-188.22344906837864</v>
      </c>
      <c r="P5">
        <f t="shared" si="0"/>
        <v>-360</v>
      </c>
      <c r="Q5">
        <f t="shared" si="1"/>
        <v>-360.0000000000001</v>
      </c>
      <c r="R5">
        <f t="shared" si="3"/>
        <v>-188.22344906837864</v>
      </c>
    </row>
    <row r="6" spans="1:18" ht="12.75">
      <c r="A6" t="s">
        <v>25</v>
      </c>
      <c r="B6">
        <f>B4*'Telescope description'!C22+B5</f>
        <v>31.60000000000001</v>
      </c>
      <c r="E6" t="s">
        <v>100</v>
      </c>
      <c r="F6">
        <f>ABS(B37)</f>
        <v>27.38484709940069</v>
      </c>
      <c r="G6">
        <f>LARGE(F$3:F$8,4)</f>
        <v>27.38484709940069</v>
      </c>
      <c r="H6">
        <f>G6^2/2/'Telescope description'!C$7</f>
        <v>-0.37496492532877723</v>
      </c>
      <c r="I6">
        <f>IF(ABS(G6)&gt;F$4,NA(),+'Telescope description'!C$22+G6^2/2/'Telescope description'!C$16)</f>
        <v>-361.0043703357021</v>
      </c>
      <c r="J6" t="e">
        <f>IF(ABS(G6)&gt;MAX(F$7,F$8),NA(),'Telescope description'!C$25)</f>
        <v>#N/A</v>
      </c>
      <c r="K6">
        <f>IF(ABS(G6)&gt;F$3,NA(),(IF(ABS(G6)&lt;=F$4,I6,'Telescope description'!C$22+(ABS(G6)-F$4)/(F$3-F$4)*(B$29-'Telescope description'!C$22))))</f>
        <v>-361.0043703357021</v>
      </c>
      <c r="L6">
        <f t="shared" si="2"/>
        <v>-156.50985997106764</v>
      </c>
      <c r="M6" t="e">
        <f>IF(AND(P6&lt;=0,P6&gt;='Telescope description'!C$22),P6,NA())</f>
        <v>#N/A</v>
      </c>
      <c r="N6">
        <f>IF(AND(Q6&lt;='Telescope description'!C$25,Q6&gt;='Telescope description'!C$22),Q6,NA())</f>
        <v>-156.50985997106778</v>
      </c>
      <c r="O6">
        <f>IF(AND(R6&lt;='Telescope description'!C$25,R6&gt;='Telescope description'!C$22),R6,NA())</f>
        <v>-156.50985997106767</v>
      </c>
      <c r="P6">
        <f t="shared" si="0"/>
        <v>-382.18501526631223</v>
      </c>
      <c r="Q6">
        <f t="shared" si="1"/>
        <v>-156.50985997106778</v>
      </c>
      <c r="R6">
        <f t="shared" si="3"/>
        <v>-156.50985997106767</v>
      </c>
    </row>
    <row r="7" spans="5:18" ht="12.75">
      <c r="E7" t="s">
        <v>101</v>
      </c>
      <c r="F7">
        <f>ABS('Telescope description'!C31)</f>
        <v>20</v>
      </c>
      <c r="G7">
        <f>LARGE(F$3:F$8,5)</f>
        <v>20</v>
      </c>
      <c r="H7">
        <f>G7^2/2/'Telescope description'!C$7</f>
        <v>-0.2</v>
      </c>
      <c r="I7">
        <f>IF(ABS(G7)&gt;F$4,NA(),+'Telescope description'!C$22+G7^2/2/'Telescope description'!C$16)</f>
        <v>-360.5357142857143</v>
      </c>
      <c r="J7">
        <f>IF(ABS(G7)&gt;MAX(F$7,F$8),NA(),'Telescope description'!C$25)</f>
        <v>200</v>
      </c>
      <c r="K7">
        <f>IF(ABS(G7)&gt;F$3,NA(),(IF(ABS(G7)&lt;=F$4,I7,'Telescope description'!C$22+(ABS(G7)-F$4)/(F$3-F$4)*(B$29-'Telescope description'!C$22))))</f>
        <v>-360.5357142857143</v>
      </c>
      <c r="L7">
        <f t="shared" si="2"/>
        <v>-156.50985997106764</v>
      </c>
      <c r="M7" t="e">
        <f>IF(AND(P7&lt;=0,P7&gt;='Telescope description'!C$22),P7,NA())</f>
        <v>#N/A</v>
      </c>
      <c r="N7">
        <f>IF(AND(Q7&lt;='Telescope description'!C$25,Q7&gt;='Telescope description'!C$22),Q7,NA())</f>
        <v>199.9999999999999</v>
      </c>
      <c r="O7">
        <f>IF(AND(R7&lt;='Telescope description'!C$25,R7&gt;='Telescope description'!C$22),R7,NA())</f>
        <v>-100.94841013052604</v>
      </c>
      <c r="P7">
        <f t="shared" si="0"/>
        <v>-421.0526315789474</v>
      </c>
      <c r="Q7">
        <f t="shared" si="1"/>
        <v>199.9999999999999</v>
      </c>
      <c r="R7">
        <f t="shared" si="3"/>
        <v>-100.94841013052604</v>
      </c>
    </row>
    <row r="8" spans="1:18" ht="12.75">
      <c r="A8" s="1" t="s">
        <v>71</v>
      </c>
      <c r="E8" t="s">
        <v>102</v>
      </c>
      <c r="F8">
        <f>ABS('Telescope description'!C32)</f>
        <v>20</v>
      </c>
      <c r="G8">
        <f>LARGE(F$3:F$8,6)</f>
        <v>20</v>
      </c>
      <c r="H8">
        <f>G8^2/2/'Telescope description'!C$7</f>
        <v>-0.2</v>
      </c>
      <c r="I8">
        <f>IF(ABS(G8)&gt;F$4,NA(),+'Telescope description'!C$22+G8^2/2/'Telescope description'!C$16)</f>
        <v>-360.5357142857143</v>
      </c>
      <c r="J8">
        <f>IF(ABS(G8)&gt;MAX(F$7,F$8),NA(),'Telescope description'!C$25)</f>
        <v>200</v>
      </c>
      <c r="K8">
        <f>IF(ABS(G8)&gt;F$3,NA(),(IF(ABS(G8)&lt;=F$4,I8,'Telescope description'!C$22+(ABS(G8)-F$4)/(F$3-F$4)*(B$29-'Telescope description'!C$22))))</f>
        <v>-360.5357142857143</v>
      </c>
      <c r="L8">
        <f t="shared" si="2"/>
        <v>-156.50985997106764</v>
      </c>
      <c r="M8" t="e">
        <f>IF(AND(P8&lt;=0,P8&gt;='Telescope description'!C$22),P8,NA())</f>
        <v>#N/A</v>
      </c>
      <c r="N8">
        <f>IF(AND(Q8&lt;='Telescope description'!C$25,Q8&gt;='Telescope description'!C$22),Q8,NA())</f>
        <v>199.9999999999999</v>
      </c>
      <c r="O8">
        <f>IF(AND(R8&lt;='Telescope description'!C$25,R8&gt;='Telescope description'!C$22),R8,NA())</f>
        <v>-100.94841013052604</v>
      </c>
      <c r="P8">
        <f t="shared" si="0"/>
        <v>-421.0526315789474</v>
      </c>
      <c r="Q8">
        <f t="shared" si="1"/>
        <v>199.9999999999999</v>
      </c>
      <c r="R8">
        <f t="shared" si="3"/>
        <v>-100.94841013052604</v>
      </c>
    </row>
    <row r="9" spans="1:18" ht="12.75">
      <c r="A9" t="s">
        <v>72</v>
      </c>
      <c r="B9">
        <f>('Telescope description'!C$31-'Telescope description'!C$14)/'Telescope description'!C$24</f>
        <v>-0.020714285714285723</v>
      </c>
      <c r="G9">
        <v>0</v>
      </c>
      <c r="H9">
        <f>G9^2/2/'Telescope description'!C$7</f>
        <v>0</v>
      </c>
      <c r="I9">
        <f>IF(ABS(G9)&gt;F$4,NA(),+'Telescope description'!C$22+G9^2/2/'Telescope description'!C$16)</f>
        <v>-360</v>
      </c>
      <c r="J9">
        <f>IF(ABS(G9)&gt;MAX(F$7,F$8),NA(),'Telescope description'!C$25)</f>
        <v>200</v>
      </c>
      <c r="K9">
        <f>IF(ABS(G9)&gt;F$3,NA(),(IF(ABS(G9)&lt;=F$4,I9,'Telescope description'!C$22+(ABS(G9)-F$4)/(F$3-F$4)*(B$29-'Telescope description'!C$22))))</f>
        <v>-360</v>
      </c>
      <c r="L9">
        <f t="shared" si="2"/>
        <v>-156.50985997106764</v>
      </c>
      <c r="M9" t="e">
        <f>IF(AND(P9&lt;=0,P9&gt;='Telescope description'!C$22),P9,NA())</f>
        <v>#N/A</v>
      </c>
      <c r="N9" t="e">
        <f>IF(AND(Q9&lt;='Telescope description'!C$25,Q9&gt;='Telescope description'!C$22),Q9,NA())</f>
        <v>#N/A</v>
      </c>
      <c r="O9">
        <f>IF(AND(R9&lt;='Telescope description'!C$25,R9&gt;='Telescope description'!C$22),R9,NA())</f>
        <v>49.52579493473699</v>
      </c>
      <c r="P9">
        <f t="shared" si="0"/>
        <v>-526.3157894736843</v>
      </c>
      <c r="Q9">
        <f t="shared" si="1"/>
        <v>1165.5172413793098</v>
      </c>
      <c r="R9">
        <f t="shared" si="3"/>
        <v>49.52579493473699</v>
      </c>
    </row>
    <row r="10" spans="1:18" ht="12.75">
      <c r="A10" t="s">
        <v>73</v>
      </c>
      <c r="B10">
        <f>('Telescope description'!C$14*'Telescope description'!C$25-'Telescope description'!C$31*'Telescope description'!C$22)/'Telescope description'!C$24</f>
        <v>24.142857142857142</v>
      </c>
      <c r="G10">
        <f>-G8</f>
        <v>-20</v>
      </c>
      <c r="H10">
        <f>G10^2/2/'Telescope description'!C$7</f>
        <v>-0.2</v>
      </c>
      <c r="I10">
        <f>IF(ABS(G10)&gt;F$4,NA(),+'Telescope description'!C$22+G10^2/2/'Telescope description'!C$16)</f>
        <v>-360.5357142857143</v>
      </c>
      <c r="J10">
        <f>IF(ABS(G10)&gt;MAX(F$7,F$8),NA(),'Telescope description'!C$25)</f>
        <v>200</v>
      </c>
      <c r="K10">
        <f>IF(ABS(G10)&gt;F$3,NA(),(IF(ABS(G10)&lt;=F$4,I10,'Telescope description'!C$22+(ABS(G10)-F$4)/(F$3-F$4)*(B$29-'Telescope description'!C$22))))</f>
        <v>-360.5357142857143</v>
      </c>
      <c r="L10">
        <f t="shared" si="2"/>
        <v>-156.50985997106764</v>
      </c>
      <c r="M10" t="e">
        <f>IF(AND(P10&lt;=0,P10&gt;='Telescope description'!C$22),P10,NA())</f>
        <v>#N/A</v>
      </c>
      <c r="N10" t="e">
        <f>IF(AND(Q10&lt;='Telescope description'!C$25,Q10&gt;='Telescope description'!C$22),Q10,NA())</f>
        <v>#N/A</v>
      </c>
      <c r="O10">
        <f>IF(AND(R10&lt;='Telescope description'!C$25,R10&gt;='Telescope description'!C$22),R10,NA())</f>
        <v>200</v>
      </c>
      <c r="P10">
        <f t="shared" si="0"/>
        <v>-631.5789473684212</v>
      </c>
      <c r="Q10">
        <f t="shared" si="1"/>
        <v>2131.0344827586196</v>
      </c>
      <c r="R10">
        <f t="shared" si="3"/>
        <v>200</v>
      </c>
    </row>
    <row r="11" spans="7:18" ht="12.75">
      <c r="G11">
        <f>-G7</f>
        <v>-20</v>
      </c>
      <c r="H11">
        <f>G11^2/2/'Telescope description'!C$7</f>
        <v>-0.2</v>
      </c>
      <c r="I11">
        <f>IF(ABS(G11)&gt;F$4,NA(),+'Telescope description'!C$22+G11^2/2/'Telescope description'!C$16)</f>
        <v>-360.5357142857143</v>
      </c>
      <c r="J11">
        <f>IF(ABS(G11)&gt;MAX(F$7,F$8),NA(),'Telescope description'!C$25)</f>
        <v>200</v>
      </c>
      <c r="K11">
        <f>IF(ABS(G11)&gt;F$3,NA(),(IF(ABS(G11)&lt;=F$4,I11,'Telescope description'!C$22+(ABS(G11)-F$4)/(F$3-F$4)*(B$29-'Telescope description'!C$22))))</f>
        <v>-360.5357142857143</v>
      </c>
      <c r="L11">
        <f t="shared" si="2"/>
        <v>-156.50985997106764</v>
      </c>
      <c r="M11" t="e">
        <f>IF(AND(P11&lt;=0,P11&gt;='Telescope description'!C$22),P11,NA())</f>
        <v>#N/A</v>
      </c>
      <c r="N11" t="e">
        <f>IF(AND(Q11&lt;='Telescope description'!C$25,Q11&gt;='Telescope description'!C$22),Q11,NA())</f>
        <v>#N/A</v>
      </c>
      <c r="O11">
        <f>IF(AND(R11&lt;='Telescope description'!C$25,R11&gt;='Telescope description'!C$22),R11,NA())</f>
        <v>200</v>
      </c>
      <c r="P11">
        <f t="shared" si="0"/>
        <v>-631.5789473684212</v>
      </c>
      <c r="Q11">
        <f t="shared" si="1"/>
        <v>2131.0344827586196</v>
      </c>
      <c r="R11">
        <f t="shared" si="3"/>
        <v>200</v>
      </c>
    </row>
    <row r="12" spans="1:18" ht="12.75">
      <c r="A12" s="1" t="s">
        <v>74</v>
      </c>
      <c r="G12">
        <f>-G6</f>
        <v>-27.38484709940069</v>
      </c>
      <c r="H12">
        <f>G12^2/2/'Telescope description'!C$7</f>
        <v>-0.37496492532877723</v>
      </c>
      <c r="I12">
        <f>IF(ABS(G12)&gt;F$4,NA(),+'Telescope description'!C$22+G12^2/2/'Telescope description'!C$16)</f>
        <v>-361.0043703357021</v>
      </c>
      <c r="J12" t="e">
        <f>IF(ABS(G12)&gt;MAX(F$7,F$8),NA(),'Telescope description'!C$25)</f>
        <v>#N/A</v>
      </c>
      <c r="K12">
        <f>IF(ABS(G12)&gt;F$3,NA(),(IF(ABS(G12)&lt;=F$4,I12,'Telescope description'!C$22+(ABS(G12)-F$4)/(F$3-F$4)*(B$29-'Telescope description'!C$22))))</f>
        <v>-361.0043703357021</v>
      </c>
      <c r="L12">
        <f t="shared" si="2"/>
        <v>-156.50985997106764</v>
      </c>
      <c r="M12" t="e">
        <f>IF(AND(P12&lt;=0,P12&gt;='Telescope description'!C$22),P12,NA())</f>
        <v>#N/A</v>
      </c>
      <c r="N12" t="e">
        <f>IF(AND(Q12&lt;='Telescope description'!C$25,Q12&gt;='Telescope description'!C$22),Q12,NA())</f>
        <v>#N/A</v>
      </c>
      <c r="O12" t="e">
        <f>IF(AND(R12&lt;='Telescope description'!C$25,R12&gt;='Telescope description'!C$22),R12,NA())</f>
        <v>#N/A</v>
      </c>
      <c r="P12">
        <f t="shared" si="0"/>
        <v>-670.4465636810563</v>
      </c>
      <c r="Q12">
        <f t="shared" si="1"/>
        <v>2487.5443427296873</v>
      </c>
      <c r="R12">
        <f t="shared" si="3"/>
        <v>255.56144984054163</v>
      </c>
    </row>
    <row r="13" spans="1:18" ht="12.75">
      <c r="A13" t="s">
        <v>75</v>
      </c>
      <c r="B13">
        <f>'Telescope description'!C$31/'Telescope description'!C$29-B26/'Telescope description'!C$8</f>
        <v>0.09428173716041133</v>
      </c>
      <c r="G13">
        <f>-G5</f>
        <v>-31.600000000000005</v>
      </c>
      <c r="H13">
        <f>G13^2/2/'Telescope description'!C$7</f>
        <v>-0.49928000000000017</v>
      </c>
      <c r="I13">
        <f>IF(ABS(G13)&gt;F$4,NA(),+'Telescope description'!C$22+G13^2/2/'Telescope description'!C$16)</f>
        <v>-361.3373571428571</v>
      </c>
      <c r="J13" t="e">
        <f>IF(ABS(G13)&gt;MAX(F$7,F$8),NA(),'Telescope description'!C$25)</f>
        <v>#N/A</v>
      </c>
      <c r="K13">
        <f>IF(ABS(G13)&gt;F$3,NA(),(IF(ABS(G13)&lt;=F$4,I13,'Telescope description'!C$22+(ABS(G13)-F$4)/(F$3-F$4)*(B$29-'Telescope description'!C$22))))</f>
        <v>-361.3373571428571</v>
      </c>
      <c r="L13">
        <f t="shared" si="2"/>
        <v>-119.13040092548007</v>
      </c>
      <c r="M13" t="e">
        <f>IF(AND(P13&lt;=0,P13&gt;='Telescope description'!C$22),P13,NA())</f>
        <v>#N/A</v>
      </c>
      <c r="N13" t="e">
        <f>IF(AND(Q13&lt;='Telescope description'!C$25,Q13&gt;='Telescope description'!C$22),Q13,NA())</f>
        <v>#N/A</v>
      </c>
      <c r="O13" t="e">
        <f>IF(AND(R13&lt;='Telescope description'!C$25,R13&gt;='Telescope description'!C$22),R13,NA())</f>
        <v>#N/A</v>
      </c>
      <c r="P13">
        <f t="shared" si="0"/>
        <v>-692.6315789473684</v>
      </c>
      <c r="Q13">
        <f t="shared" si="1"/>
        <v>2691.0344827586196</v>
      </c>
      <c r="R13">
        <f t="shared" si="3"/>
        <v>287.2750389378526</v>
      </c>
    </row>
    <row r="14" spans="1:18" ht="12.75">
      <c r="A14" t="s">
        <v>76</v>
      </c>
      <c r="B14">
        <f>B26</f>
        <v>42.14086858020567</v>
      </c>
      <c r="G14">
        <f>-G4</f>
        <v>-31.60000000000001</v>
      </c>
      <c r="H14">
        <f>G14^2/2/'Telescope description'!C$7</f>
        <v>-0.4992800000000003</v>
      </c>
      <c r="I14">
        <f>IF(ABS(G14)&gt;F$4,NA(),+'Telescope description'!C$22+G14^2/2/'Telescope description'!C$16)</f>
        <v>-361.3373571428571</v>
      </c>
      <c r="J14" t="e">
        <f>IF(ABS(G14)&gt;MAX(F$7,F$8),NA(),'Telescope description'!C$25)</f>
        <v>#N/A</v>
      </c>
      <c r="K14">
        <f>IF(ABS(G14)&gt;F$3,NA(),(IF(ABS(G14)&lt;=F$4,I14,'Telescope description'!C$22+(ABS(G14)-F$4)/(F$3-F$4)*(B$29-'Telescope description'!C$22))))</f>
        <v>-361.3373571428571</v>
      </c>
      <c r="L14">
        <f t="shared" si="2"/>
        <v>-119.13040092548005</v>
      </c>
      <c r="M14" t="e">
        <f>IF(AND(P14&lt;=0,P14&gt;='Telescope description'!C$22),P14,NA())</f>
        <v>#N/A</v>
      </c>
      <c r="N14" t="e">
        <f>IF(AND(Q14&lt;='Telescope description'!C$25,Q14&gt;='Telescope description'!C$22),Q14,NA())</f>
        <v>#N/A</v>
      </c>
      <c r="O14" t="e">
        <f>IF(AND(R14&lt;='Telescope description'!C$25,R14&gt;='Telescope description'!C$22),R14,NA())</f>
        <v>#N/A</v>
      </c>
      <c r="P14">
        <f t="shared" si="0"/>
        <v>-692.6315789473687</v>
      </c>
      <c r="Q14">
        <f t="shared" si="1"/>
        <v>2691.0344827586196</v>
      </c>
      <c r="R14">
        <f t="shared" si="3"/>
        <v>287.2750389378527</v>
      </c>
    </row>
    <row r="15" spans="7:18" ht="12.75">
      <c r="G15">
        <f>-G3</f>
        <v>-45.03392515119539</v>
      </c>
      <c r="H15">
        <f>G15^2/2/'Telescope description'!C$7</f>
        <v>-1.0140272072617345</v>
      </c>
      <c r="I15" t="e">
        <f>IF(ABS(G15)&gt;F$4,NA(),+'Telescope description'!C$22+G15^2/2/'Telescope description'!C$16)</f>
        <v>#N/A</v>
      </c>
      <c r="J15" t="e">
        <f>IF(ABS(G15)&gt;MAX(F$7,F$8),NA(),'Telescope description'!C$25)</f>
        <v>#N/A</v>
      </c>
      <c r="K15">
        <f>IF(ABS(G15)&gt;F$3,NA(),(IF(ABS(G15)&lt;=F$4,I15,'Telescope description'!C$22+(ABS(G15)-F$4)/(F$3-F$4)*(B$29-'Telescope description'!C$22))))</f>
        <v>-289.2956570989717</v>
      </c>
      <c r="L15">
        <f t="shared" si="2"/>
        <v>0</v>
      </c>
      <c r="M15" t="e">
        <f>IF(AND(P15&lt;=0,P15&gt;='Telescope description'!C$22),P15,NA())</f>
        <v>#N/A</v>
      </c>
      <c r="N15" t="e">
        <f>IF(AND(Q15&lt;='Telescope description'!C$25,Q15&gt;='Telescope description'!C$22),Q15,NA())</f>
        <v>#N/A</v>
      </c>
      <c r="O15" t="e">
        <f>IF(AND(R15&lt;='Telescope description'!C$25,R15&gt;='Telescope description'!C$22),R15,NA())</f>
        <v>#N/A</v>
      </c>
      <c r="P15">
        <f t="shared" si="0"/>
        <v>-763.3364481641863</v>
      </c>
      <c r="Q15">
        <f t="shared" si="1"/>
        <v>3339.5688004025346</v>
      </c>
      <c r="R15">
        <f t="shared" si="3"/>
        <v>388.3479993394711</v>
      </c>
    </row>
    <row r="16" spans="1:18" ht="12.75">
      <c r="A16" s="1" t="s">
        <v>77</v>
      </c>
      <c r="G16">
        <f>-G2</f>
        <v>-100</v>
      </c>
      <c r="H16">
        <f>G16^2/2/'Telescope description'!C$7</f>
        <v>-5</v>
      </c>
      <c r="I16" t="e">
        <f>IF(ABS(G16)&gt;F$4,NA(),+'Telescope description'!C$22+G16^2/2/'Telescope description'!C$16)</f>
        <v>#N/A</v>
      </c>
      <c r="J16" t="e">
        <f>IF(ABS(G16)&gt;MAX(F$7,F$8),NA(),'Telescope description'!C$25)</f>
        <v>#N/A</v>
      </c>
      <c r="K16" t="e">
        <f>IF(ABS(G16)&gt;F$3,NA(),(IF(ABS(G16)&lt;=F$4,I16,'Telescope description'!C$22+(ABS(G16)-F$4)/(F$3-F$4)*(B$29-'Telescope description'!C$22))))</f>
        <v>#N/A</v>
      </c>
      <c r="L16" t="e">
        <f t="shared" si="2"/>
        <v>#N/A</v>
      </c>
      <c r="M16" t="e">
        <f>IF(AND(P16&lt;=0,P16&gt;='Telescope description'!C$22),P16,NA())</f>
        <v>#N/A</v>
      </c>
      <c r="N16" t="e">
        <f>IF(AND(Q16&lt;='Telescope description'!C$25,Q16&gt;='Telescope description'!C$22),Q16,NA())</f>
        <v>#N/A</v>
      </c>
      <c r="O16" t="e">
        <f>IF(AND(R16&lt;='Telescope description'!C$25,R16&gt;='Telescope description'!C$22),R16,NA())</f>
        <v>#N/A</v>
      </c>
      <c r="P16">
        <f t="shared" si="0"/>
        <v>-1052.6315789473686</v>
      </c>
      <c r="Q16">
        <f t="shared" si="1"/>
        <v>5993.10344827586</v>
      </c>
      <c r="R16">
        <f t="shared" si="3"/>
        <v>801.8968202610521</v>
      </c>
    </row>
    <row r="17" spans="1:2" ht="12.75">
      <c r="A17" t="s">
        <v>78</v>
      </c>
      <c r="B17">
        <f>('Telescope description'!C$32-B37)/('Telescope description'!C$25-B36)</f>
        <v>-0.1329131460859068</v>
      </c>
    </row>
    <row r="18" spans="1:2" ht="12.75">
      <c r="A18" t="s">
        <v>79</v>
      </c>
      <c r="B18">
        <f>(B37*'Telescope description'!C$25-B36*'Telescope description'!C$32)/('Telescope description'!C$25-B36)</f>
        <v>6.582629217181361</v>
      </c>
    </row>
    <row r="20" ht="12.75">
      <c r="A20" t="s">
        <v>80</v>
      </c>
    </row>
    <row r="21" spans="1:2" ht="12.75">
      <c r="A21" t="s">
        <v>81</v>
      </c>
      <c r="B21">
        <f>-'Telescope description'!C$32/'Telescope description'!C$8+B10/'Telescope description'!C$8+B9+B4*'Telescope description'!C$25/'Telescope description'!C$8-B4</f>
        <v>-0.375</v>
      </c>
    </row>
    <row r="22" spans="1:2" ht="12.75">
      <c r="A22" t="s">
        <v>41</v>
      </c>
      <c r="B22">
        <f>'Telescope description'!C$32*('Telescope description'!C$31/'Telescope description'!C$29-B9)-B10*'Telescope description'!C$31/'Telescope description'!C$29-B4*'Telescope description'!C$25*('Telescope description'!C$31/'Telescope description'!C$29-B9)+B4*B10+'Telescope description'!C$6*'Telescope description'!C$32/'Telescope description'!C$8-B10*'Telescope description'!C$6/'Telescope description'!C$8-B9*'Telescope description'!C$6-(B4+'Telescope description'!C$33)*('Telescope description'!C$25*B10/'Telescope description'!C$8+B9*'Telescope description'!C$25-'Telescope description'!C$32)-'Telescope description'!C$33*'Telescope description'!C$6*(1-'Telescope description'!C$25/'Telescope description'!C$8)</f>
        <v>10.824285714285715</v>
      </c>
    </row>
    <row r="23" spans="1:2" ht="12.75">
      <c r="A23" t="s">
        <v>82</v>
      </c>
      <c r="B23">
        <f>-'Telescope description'!C$6*'Telescope description'!C$32*('Telescope description'!C$31/'Telescope description'!C$29-B9)+B10*'Telescope description'!C$6*'Telescope description'!C$31/'Telescope description'!C$29+(B4+'Telescope description'!C$33)*(B10*'Telescope description'!C$25*'Telescope description'!C$31/'Telescope description'!C$29-B10*'Telescope description'!C$32)-'Telescope description'!C$33*'Telescope description'!C$6*'Telescope description'!C$25*('Telescope description'!C$31/'Telescope description'!C$29-B9)+'Telescope description'!C$33*'Telescope description'!C$6*B10</f>
        <v>209.8</v>
      </c>
    </row>
    <row r="25" spans="1:2" ht="12.75">
      <c r="A25" t="s">
        <v>83</v>
      </c>
      <c r="B25">
        <f>(-B$22+SQRT(B$22^2-4*B$21*B$23))/2/B$21</f>
        <v>-13.276106675443762</v>
      </c>
    </row>
    <row r="26" spans="1:2" ht="12.75">
      <c r="A26" t="s">
        <v>84</v>
      </c>
      <c r="B26">
        <f>(-B$22-SQRT(B$22^2-4*B$21*B$23))/2/B$21</f>
        <v>42.14086858020567</v>
      </c>
    </row>
    <row r="28" ht="12.75">
      <c r="A28" t="s">
        <v>85</v>
      </c>
    </row>
    <row r="29" spans="1:2" ht="12.75">
      <c r="A29" t="s">
        <v>86</v>
      </c>
      <c r="B29" s="7">
        <f>(B26-B18)/(B17+'Telescope description'!C$33)</f>
        <v>-289.2956570989717</v>
      </c>
    </row>
    <row r="30" spans="1:3" ht="12.75">
      <c r="A30" t="s">
        <v>87</v>
      </c>
      <c r="B30" s="7">
        <f>B26-'Telescope description'!C$33*B29</f>
        <v>45.03382515119539</v>
      </c>
      <c r="C30" s="2">
        <f>B30/'Telescope description'!C$6</f>
        <v>0.4503382515119539</v>
      </c>
    </row>
    <row r="31" spans="2:3" ht="12.75">
      <c r="B31" s="7"/>
      <c r="C31" s="2"/>
    </row>
    <row r="32" spans="1:3" ht="12.75">
      <c r="A32" t="s">
        <v>103</v>
      </c>
      <c r="B32" s="7">
        <f>+B29-'Telescope description'!C$22</f>
        <v>70.70434290102833</v>
      </c>
      <c r="C32" s="2"/>
    </row>
    <row r="33" spans="1:3" ht="12.75">
      <c r="A33" t="s">
        <v>104</v>
      </c>
      <c r="B33" s="7">
        <f>2*B30</f>
        <v>90.06765030239077</v>
      </c>
      <c r="C33" s="2"/>
    </row>
    <row r="34" ht="12.75">
      <c r="B34" s="7"/>
    </row>
    <row r="35" spans="1:2" ht="12.75">
      <c r="A35" t="s">
        <v>88</v>
      </c>
      <c r="B35" s="7"/>
    </row>
    <row r="36" spans="1:2" ht="12.75">
      <c r="A36" t="s">
        <v>89</v>
      </c>
      <c r="B36" s="7">
        <f>(B10-B26)/('Telescope description'!C$31/'Telescope description'!C$29-B26/'Telescope description'!C$8-B9)</f>
        <v>-156.50985997106764</v>
      </c>
    </row>
    <row r="37" spans="1:2" ht="12.75">
      <c r="A37" t="s">
        <v>90</v>
      </c>
      <c r="B37" s="7">
        <f>(B10*'Telescope description'!C$31/'Telescope description'!C$29-B10*B26/'Telescope description'!C$8-B9*B26)/('Telescope description'!C$31/'Telescope description'!C$29-B26/'Telescope description'!C$8-B9)</f>
        <v>27.38484709940069</v>
      </c>
    </row>
    <row r="38" ht="12.75">
      <c r="B38" s="7"/>
    </row>
    <row r="39" spans="1:2" ht="12.75">
      <c r="A39" t="s">
        <v>103</v>
      </c>
      <c r="B39" s="7">
        <f>-B36</f>
        <v>156.50985997106764</v>
      </c>
    </row>
    <row r="40" spans="1:2" ht="12.75">
      <c r="A40" t="s">
        <v>104</v>
      </c>
      <c r="B40" s="7">
        <f>2*B37</f>
        <v>54.76969419880138</v>
      </c>
    </row>
    <row r="41" spans="1:2" ht="12.75">
      <c r="A41" t="s">
        <v>105</v>
      </c>
      <c r="B41" s="7">
        <f>2*B10</f>
        <v>48.285714285714285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1" sqref="A1"/>
    </sheetView>
  </sheetViews>
  <sheetFormatPr defaultColWidth="9.140625" defaultRowHeight="12.75"/>
  <sheetData>
    <row r="1" spans="1:18" ht="25.5">
      <c r="A1" s="1" t="s">
        <v>67</v>
      </c>
      <c r="E1" s="9" t="s">
        <v>91</v>
      </c>
      <c r="F1" s="9"/>
      <c r="G1" s="9" t="s">
        <v>92</v>
      </c>
      <c r="H1" s="9" t="s">
        <v>4</v>
      </c>
      <c r="I1" s="9" t="s">
        <v>19</v>
      </c>
      <c r="J1" s="9" t="s">
        <v>93</v>
      </c>
      <c r="K1" s="9" t="s">
        <v>85</v>
      </c>
      <c r="L1" s="9" t="s">
        <v>88</v>
      </c>
      <c r="M1" s="9" t="s">
        <v>94</v>
      </c>
      <c r="N1" s="9" t="s">
        <v>95</v>
      </c>
      <c r="O1" s="9" t="s">
        <v>96</v>
      </c>
      <c r="P1" s="9" t="s">
        <v>94</v>
      </c>
      <c r="Q1" s="9" t="s">
        <v>95</v>
      </c>
      <c r="R1" s="9" t="s">
        <v>96</v>
      </c>
    </row>
    <row r="2" spans="7:18" ht="12.75">
      <c r="G2">
        <f>'Telescope description'!D6</f>
        <v>100</v>
      </c>
      <c r="H2">
        <f>G2^2/2/'Telescope description'!D$7</f>
        <v>-3.125</v>
      </c>
      <c r="I2" t="e">
        <f>IF(ABS(G2)&gt;F$4,NA(),+'Telescope description'!D$22+G2^2/2/'Telescope description'!D$16)</f>
        <v>#N/A</v>
      </c>
      <c r="J2" t="e">
        <f>IF(ABS(G2)&gt;MAX(F$7,F$8),NA(),'Telescope description'!D$25)</f>
        <v>#N/A</v>
      </c>
      <c r="K2" t="e">
        <f>IF(ABS(G2)&gt;F$3,NA(),(IF(ABS(G2)&lt;=F$4,I2,'Telescope description'!D$22+(ABS(G2)-F$4)/(F$3-F$4)*(B$29-'Telescope description'!D$22))))</f>
        <v>#N/A</v>
      </c>
      <c r="L2" t="e">
        <f>IF(ABS(G2)&gt;F$3,NA(),IF(ABS(G2)&lt;=F$6,B$36,(ABS(G2)-F$3)/(F$6-F$3)*B$36))</f>
        <v>#N/A</v>
      </c>
      <c r="M2">
        <f>IF(AND(P2&lt;=0,P2&gt;='Telescope description'!D$22),P2,NA())</f>
        <v>0</v>
      </c>
      <c r="N2" t="e">
        <f>IF(AND(Q2&lt;='Telescope description'!D$25,Q2&gt;='Telescope description'!D$22),Q2,NA())</f>
        <v>#N/A</v>
      </c>
      <c r="O2" t="e">
        <f>IF(AND(R2&lt;='Telescope description'!D$25,R2&gt;='Telescope description'!D$22),R2,NA())</f>
        <v>#N/A</v>
      </c>
      <c r="P2">
        <f aca="true" t="shared" si="0" ref="P2:P16">(G2-B$5)/B$4</f>
        <v>0</v>
      </c>
      <c r="Q2">
        <f aca="true" t="shared" si="1" ref="Q2:Q16">(G2-B$10)/B$9</f>
        <v>-6510.66666398178</v>
      </c>
      <c r="R2">
        <f>(G2-B$18)/B$17</f>
        <v>-6535.502906439977</v>
      </c>
    </row>
    <row r="3" spans="1:18" ht="12.75">
      <c r="A3" s="1" t="s">
        <v>68</v>
      </c>
      <c r="E3" t="s">
        <v>97</v>
      </c>
      <c r="F3">
        <f>ABS(B30)+0.0001</f>
        <v>28.977654034815078</v>
      </c>
      <c r="G3">
        <f>LARGE(F$3:F$8,1)</f>
        <v>29</v>
      </c>
      <c r="H3">
        <f>G3^2/2/'Telescope description'!D$7</f>
        <v>-0.2628125</v>
      </c>
      <c r="I3">
        <f>IF(ABS(G3)&gt;F$4,NA(),+'Telescope description'!D$22+G3^2/2/'Telescope description'!D$16)</f>
        <v>-600.7541857622977</v>
      </c>
      <c r="J3" t="e">
        <f>IF(ABS(G3)&gt;MAX(F$7,F$8),NA(),'Telescope description'!D$25)</f>
        <v>#N/A</v>
      </c>
      <c r="K3" t="e">
        <f>IF(ABS(G3)&gt;F$3,NA(),(IF(ABS(G3)&lt;=F$4,I3,'Telescope description'!D$22+(ABS(G3)-F$4)/(F$3-F$4)*(B$29-'Telescope description'!D$22))))</f>
        <v>#N/A</v>
      </c>
      <c r="L3" t="e">
        <f aca="true" t="shared" si="2" ref="L3:L16">IF(ABS(G3)&gt;F$3,NA(),IF(ABS(G3)&lt;=F$6,B$36,(ABS(G3)-F$3)/(F$6-F$3)*B$36))</f>
        <v>#N/A</v>
      </c>
      <c r="M3">
        <f>IF(AND(P3&lt;=0,P3&gt;='Telescope description'!D$22),P3,NA())</f>
        <v>-599.9833333333333</v>
      </c>
      <c r="N3">
        <f>IF(AND(Q3&lt;='Telescope description'!D$25,Q3&gt;='Telescope description'!D$22),Q3,NA())</f>
        <v>-599.9833333333332</v>
      </c>
      <c r="O3" t="e">
        <f>IF(AND(R3&lt;='Telescope description'!D$25,R3&gt;='Telescope description'!D$22),R3,NA())</f>
        <v>#N/A</v>
      </c>
      <c r="P3">
        <f t="shared" si="0"/>
        <v>-599.9833333333333</v>
      </c>
      <c r="Q3">
        <f t="shared" si="1"/>
        <v>-599.9833333333332</v>
      </c>
      <c r="R3">
        <f aca="true" t="shared" si="3" ref="R3:R16">(G3-B$18)/B$17</f>
        <v>-602.0488165578305</v>
      </c>
    </row>
    <row r="4" spans="1:18" ht="12.75">
      <c r="A4" t="s">
        <v>69</v>
      </c>
      <c r="B4">
        <f>('Telescope description'!D$14-'Telescope description'!D$6)/'Telescope description'!D$22</f>
        <v>0.11833662046167949</v>
      </c>
      <c r="E4" t="s">
        <v>98</v>
      </c>
      <c r="F4">
        <f>ABS('Telescope description'!D14)</f>
        <v>29</v>
      </c>
      <c r="G4">
        <f>LARGE(F$3:F$8,2)</f>
        <v>29</v>
      </c>
      <c r="H4">
        <f>G4^2/2/'Telescope description'!D$7</f>
        <v>-0.2628125</v>
      </c>
      <c r="I4">
        <f>IF(ABS(G4)&gt;F$4,NA(),+'Telescope description'!D$22+G4^2/2/'Telescope description'!D$16)</f>
        <v>-600.7541857622977</v>
      </c>
      <c r="J4" t="e">
        <f>IF(ABS(G4)&gt;MAX(F$7,F$8),NA(),'Telescope description'!D$25)</f>
        <v>#N/A</v>
      </c>
      <c r="K4" t="e">
        <f>IF(ABS(G4)&gt;F$3,NA(),(IF(ABS(G4)&lt;=F$4,I4,'Telescope description'!D$22+(ABS(G4)-F$4)/(F$3-F$4)*(B$29-'Telescope description'!D$22))))</f>
        <v>#N/A</v>
      </c>
      <c r="L4" t="e">
        <f t="shared" si="2"/>
        <v>#N/A</v>
      </c>
      <c r="M4">
        <f>IF(AND(P4&lt;=0,P4&gt;='Telescope description'!D$22),P4,NA())</f>
        <v>-599.9833333333333</v>
      </c>
      <c r="N4">
        <f>IF(AND(Q4&lt;='Telescope description'!D$25,Q4&gt;='Telescope description'!D$22),Q4,NA())</f>
        <v>-599.9833333333332</v>
      </c>
      <c r="O4" t="e">
        <f>IF(AND(R4&lt;='Telescope description'!D$25,R4&gt;='Telescope description'!D$22),R4,NA())</f>
        <v>#N/A</v>
      </c>
      <c r="P4">
        <f t="shared" si="0"/>
        <v>-599.9833333333333</v>
      </c>
      <c r="Q4">
        <f t="shared" si="1"/>
        <v>-599.9833333333332</v>
      </c>
      <c r="R4">
        <f t="shared" si="3"/>
        <v>-602.0488165578305</v>
      </c>
    </row>
    <row r="5" spans="1:18" ht="12.75">
      <c r="A5" t="s">
        <v>70</v>
      </c>
      <c r="B5">
        <f>'Telescope description'!D$6</f>
        <v>100</v>
      </c>
      <c r="E5" t="s">
        <v>99</v>
      </c>
      <c r="F5">
        <f>ABS(B6)</f>
        <v>29</v>
      </c>
      <c r="G5">
        <f>LARGE(F$3:F$8,3)</f>
        <v>28.977654034815078</v>
      </c>
      <c r="H5">
        <f>G5^2/2/'Telescope description'!D$7</f>
        <v>-0.2624076354254483</v>
      </c>
      <c r="I5">
        <f>IF(ABS(G5)&gt;F$4,NA(),+'Telescope description'!D$22+G5^2/2/'Telescope description'!D$16)</f>
        <v>-600.7529982585042</v>
      </c>
      <c r="J5" t="e">
        <f>IF(ABS(G5)&gt;MAX(F$7,F$8),NA(),'Telescope description'!D$25)</f>
        <v>#N/A</v>
      </c>
      <c r="K5">
        <f>IF(ABS(G5)&gt;F$3,NA(),(IF(ABS(G5)&lt;=F$4,I5,'Telescope description'!D$22+(ABS(G5)-F$4)/(F$3-F$4)*(B$29-'Telescope description'!D$22))))</f>
        <v>-600.7529982585042</v>
      </c>
      <c r="L5">
        <f t="shared" si="2"/>
        <v>0</v>
      </c>
      <c r="M5" t="e">
        <f>IF(AND(P5&lt;=0,P5&gt;='Telescope description'!D$22),P5,NA())</f>
        <v>#N/A</v>
      </c>
      <c r="N5">
        <f>IF(AND(Q5&lt;='Telescope description'!D$25,Q5&gt;='Telescope description'!D$22),Q5,NA())</f>
        <v>-598.1230527146605</v>
      </c>
      <c r="O5" t="e">
        <f>IF(AND(R5&lt;='Telescope description'!D$25,R5&gt;='Telescope description'!D$22),R5,NA())</f>
        <v>#N/A</v>
      </c>
      <c r="P5">
        <f t="shared" si="0"/>
        <v>-600.1721672302094</v>
      </c>
      <c r="Q5">
        <f t="shared" si="1"/>
        <v>-598.1230527146605</v>
      </c>
      <c r="R5">
        <f t="shared" si="3"/>
        <v>-600.1813692547483</v>
      </c>
    </row>
    <row r="6" spans="1:18" ht="12.75">
      <c r="A6" t="s">
        <v>25</v>
      </c>
      <c r="B6">
        <f>B4*'Telescope description'!D22+B5</f>
        <v>29</v>
      </c>
      <c r="E6" t="s">
        <v>100</v>
      </c>
      <c r="F6">
        <f>ABS(B37)</f>
        <v>22.559753215330595</v>
      </c>
      <c r="G6">
        <f>LARGE(F$3:F$8,4)</f>
        <v>22.559753215330595</v>
      </c>
      <c r="H6">
        <f>G6^2/2/'Telescope description'!D$7</f>
        <v>-0.15904452035519345</v>
      </c>
      <c r="I6">
        <f>IF(ABS(G6)&gt;F$4,NA(),+'Telescope description'!D$22+G6^2/2/'Telescope description'!D$16)</f>
        <v>-600.4498250520653</v>
      </c>
      <c r="J6" t="e">
        <f>IF(ABS(G6)&gt;MAX(F$7,F$8),NA(),'Telescope description'!D$25)</f>
        <v>#N/A</v>
      </c>
      <c r="K6">
        <f>IF(ABS(G6)&gt;F$3,NA(),(IF(ABS(G6)&lt;=F$4,I6,'Telescope description'!D$22+(ABS(G6)-F$4)/(F$3-F$4)*(B$29-'Telescope description'!D$22))))</f>
        <v>-600.4498250520653</v>
      </c>
      <c r="L6">
        <f t="shared" si="2"/>
        <v>-63.83883593322477</v>
      </c>
      <c r="M6" t="e">
        <f>IF(AND(P6&lt;=0,P6&gt;='Telescope description'!D$22),P6,NA())</f>
        <v>#N/A</v>
      </c>
      <c r="N6">
        <f>IF(AND(Q6&lt;='Telescope description'!D$25,Q6&gt;='Telescope description'!D$22),Q6,NA())</f>
        <v>-63.83883593322457</v>
      </c>
      <c r="O6">
        <f>IF(AND(R6&lt;='Telescope description'!D$25,R6&gt;='Telescope description'!D$22),R6,NA())</f>
        <v>-63.83883593322458</v>
      </c>
      <c r="P6">
        <f t="shared" si="0"/>
        <v>-654.4064422538295</v>
      </c>
      <c r="Q6">
        <f t="shared" si="1"/>
        <v>-63.83883593322457</v>
      </c>
      <c r="R6">
        <f t="shared" si="3"/>
        <v>-63.83883593322458</v>
      </c>
    </row>
    <row r="7" spans="5:18" ht="12.75">
      <c r="E7" t="s">
        <v>101</v>
      </c>
      <c r="F7">
        <f>ABS('Telescope description'!D31)</f>
        <v>19.990138614961534</v>
      </c>
      <c r="G7">
        <f>LARGE(F$3:F$8,5)</f>
        <v>20</v>
      </c>
      <c r="H7">
        <f>G7^2/2/'Telescope description'!D$7</f>
        <v>-0.125</v>
      </c>
      <c r="I7">
        <f>IF(ABS(G7)&gt;F$4,NA(),+'Telescope description'!D$22+G7^2/2/'Telescope description'!D$16)</f>
        <v>-600.3499694469906</v>
      </c>
      <c r="J7">
        <f>IF(ABS(G7)&gt;MAX(F$7,F$8),NA(),'Telescope description'!D$25)</f>
        <v>150.07916666666665</v>
      </c>
      <c r="K7">
        <f>IF(ABS(G7)&gt;F$3,NA(),(IF(ABS(G7)&lt;=F$4,I7,'Telescope description'!D$22+(ABS(G7)-F$4)/(F$3-F$4)*(B$29-'Telescope description'!D$22))))</f>
        <v>-600.3499694469906</v>
      </c>
      <c r="L7">
        <f t="shared" si="2"/>
        <v>-63.83883593322477</v>
      </c>
      <c r="M7" t="e">
        <f>IF(AND(P7&lt;=0,P7&gt;='Telescope description'!D$22),P7,NA())</f>
        <v>#N/A</v>
      </c>
      <c r="N7">
        <f>IF(AND(Q7&lt;='Telescope description'!D$25,Q7&gt;='Telescope description'!D$22),Q7,NA())</f>
        <v>149.2582156221038</v>
      </c>
      <c r="O7">
        <f>IF(AND(R7&lt;='Telescope description'!D$25,R7&gt;='Telescope description'!D$22),R7,NA())</f>
        <v>150.07916666666685</v>
      </c>
      <c r="P7">
        <f t="shared" si="0"/>
        <v>-676.037558685446</v>
      </c>
      <c r="Q7">
        <f t="shared" si="1"/>
        <v>149.2582156221038</v>
      </c>
      <c r="R7">
        <f t="shared" si="3"/>
        <v>150.07916666666685</v>
      </c>
    </row>
    <row r="8" spans="1:18" ht="12.75">
      <c r="A8" s="1" t="s">
        <v>71</v>
      </c>
      <c r="E8" t="s">
        <v>102</v>
      </c>
      <c r="F8">
        <f>ABS('Telescope description'!D32)</f>
        <v>20</v>
      </c>
      <c r="G8">
        <f>LARGE(F$3:F$8,6)</f>
        <v>19.990138614961534</v>
      </c>
      <c r="H8">
        <f>G8^2/2/'Telescope description'!D$7</f>
        <v>-0.12487676307668007</v>
      </c>
      <c r="I8">
        <f>IF(ABS(G8)&gt;F$4,NA(),+'Telescope description'!D$22+G8^2/2/'Telescope description'!D$16)</f>
        <v>-600.3496079821375</v>
      </c>
      <c r="J8">
        <f>IF(ABS(G8)&gt;MAX(F$7,F$8),NA(),'Telescope description'!D$25)</f>
        <v>150.07916666666665</v>
      </c>
      <c r="K8">
        <f>IF(ABS(G8)&gt;F$3,NA(),(IF(ABS(G8)&lt;=F$4,I8,'Telescope description'!D$22+(ABS(G8)-F$4)/(F$3-F$4)*(B$29-'Telescope description'!D$22))))</f>
        <v>-600.3496079821375</v>
      </c>
      <c r="L8">
        <f t="shared" si="2"/>
        <v>-63.83883593322477</v>
      </c>
      <c r="M8" t="e">
        <f>IF(AND(P8&lt;=0,P8&gt;='Telescope description'!D$22),P8,NA())</f>
        <v>#N/A</v>
      </c>
      <c r="N8">
        <f>IF(AND(Q8&lt;='Telescope description'!D$25,Q8&gt;='Telescope description'!D$22),Q8,NA())</f>
        <v>150.0791666666667</v>
      </c>
      <c r="O8" t="e">
        <f>IF(AND(R8&lt;='Telescope description'!D$25,R8&gt;='Telescope description'!D$22),R8,NA())</f>
        <v>#N/A</v>
      </c>
      <c r="P8">
        <f t="shared" si="0"/>
        <v>-676.1208920187793</v>
      </c>
      <c r="Q8">
        <f t="shared" si="1"/>
        <v>150.0791666666667</v>
      </c>
      <c r="R8">
        <f t="shared" si="3"/>
        <v>150.90328040453147</v>
      </c>
    </row>
    <row r="9" spans="1:18" ht="12.75">
      <c r="A9" t="s">
        <v>72</v>
      </c>
      <c r="B9">
        <f>('Telescope description'!D$31-'Telescope description'!D$14)/'Telescope description'!D$24</f>
        <v>-0.012012147501092864</v>
      </c>
      <c r="G9">
        <v>0</v>
      </c>
      <c r="H9">
        <f>G9^2/2/'Telescope description'!D$7</f>
        <v>0</v>
      </c>
      <c r="I9">
        <f>IF(ABS(G9)&gt;F$4,NA(),+'Telescope description'!D$22+G9^2/2/'Telescope description'!D$16)</f>
        <v>-599.9833333333333</v>
      </c>
      <c r="J9">
        <f>IF(ABS(G9)&gt;MAX(F$7,F$8),NA(),'Telescope description'!D$25)</f>
        <v>150.07916666666665</v>
      </c>
      <c r="K9">
        <f>IF(ABS(G9)&gt;F$3,NA(),(IF(ABS(G9)&lt;=F$4,I9,'Telescope description'!D$22+(ABS(G9)-F$4)/(F$3-F$4)*(B$29-'Telescope description'!D$22))))</f>
        <v>-599.9833333333333</v>
      </c>
      <c r="L9">
        <f t="shared" si="2"/>
        <v>-63.83883593322477</v>
      </c>
      <c r="M9" t="e">
        <f>IF(AND(P9&lt;=0,P9&gt;='Telescope description'!D$22),P9,NA())</f>
        <v>#N/A</v>
      </c>
      <c r="N9" t="e">
        <f>IF(AND(Q9&lt;='Telescope description'!D$25,Q9&gt;='Telescope description'!D$22),Q9,NA())</f>
        <v>#N/A</v>
      </c>
      <c r="O9" t="e">
        <f>IF(AND(R9&lt;='Telescope description'!D$25,R9&gt;='Telescope description'!D$22),R9,NA())</f>
        <v>#N/A</v>
      </c>
      <c r="P9">
        <f t="shared" si="0"/>
        <v>-845.0469483568075</v>
      </c>
      <c r="Q9">
        <f t="shared" si="1"/>
        <v>1814.239435523075</v>
      </c>
      <c r="R9">
        <f t="shared" si="3"/>
        <v>1821.4746849433277</v>
      </c>
    </row>
    <row r="10" spans="1:18" ht="12.75">
      <c r="A10" t="s">
        <v>73</v>
      </c>
      <c r="B10">
        <f>('Telescope description'!D$14*'Telescope description'!D$25-'Telescope description'!D$31*'Telescope description'!D$22)/'Telescope description'!D$24</f>
        <v>21.792911701802634</v>
      </c>
      <c r="G10">
        <f>-G8</f>
        <v>-19.990138614961534</v>
      </c>
      <c r="H10">
        <f>G10^2/2/'Telescope description'!D$7</f>
        <v>-0.12487676307668007</v>
      </c>
      <c r="I10">
        <f>IF(ABS(G10)&gt;F$4,NA(),+'Telescope description'!D$22+G10^2/2/'Telescope description'!D$16)</f>
        <v>-600.3496079821375</v>
      </c>
      <c r="J10">
        <f>IF(ABS(G10)&gt;MAX(F$7,F$8),NA(),'Telescope description'!D$25)</f>
        <v>150.07916666666665</v>
      </c>
      <c r="K10">
        <f>IF(ABS(G10)&gt;F$3,NA(),(IF(ABS(G10)&lt;=F$4,I10,'Telescope description'!D$22+(ABS(G10)-F$4)/(F$3-F$4)*(B$29-'Telescope description'!D$22))))</f>
        <v>-600.3496079821375</v>
      </c>
      <c r="L10">
        <f t="shared" si="2"/>
        <v>-63.83883593322477</v>
      </c>
      <c r="M10" t="e">
        <f>IF(AND(P10&lt;=0,P10&gt;='Telescope description'!D$22),P10,NA())</f>
        <v>#N/A</v>
      </c>
      <c r="N10" t="e">
        <f>IF(AND(Q10&lt;='Telescope description'!D$25,Q10&gt;='Telescope description'!D$22),Q10,NA())</f>
        <v>#N/A</v>
      </c>
      <c r="O10" t="e">
        <f>IF(AND(R10&lt;='Telescope description'!D$25,R10&gt;='Telescope description'!D$22),R10,NA())</f>
        <v>#N/A</v>
      </c>
      <c r="P10">
        <f t="shared" si="0"/>
        <v>-1013.9730046948358</v>
      </c>
      <c r="Q10">
        <f t="shared" si="1"/>
        <v>3478.3997043794834</v>
      </c>
      <c r="R10">
        <f t="shared" si="3"/>
        <v>3492.0460894821244</v>
      </c>
    </row>
    <row r="11" spans="7:18" ht="12.75">
      <c r="G11">
        <f>-G7</f>
        <v>-20</v>
      </c>
      <c r="H11">
        <f>G11^2/2/'Telescope description'!D$7</f>
        <v>-0.125</v>
      </c>
      <c r="I11">
        <f>IF(ABS(G11)&gt;F$4,NA(),+'Telescope description'!D$22+G11^2/2/'Telescope description'!D$16)</f>
        <v>-600.3499694469906</v>
      </c>
      <c r="J11">
        <f>IF(ABS(G11)&gt;MAX(F$7,F$8),NA(),'Telescope description'!D$25)</f>
        <v>150.07916666666665</v>
      </c>
      <c r="K11">
        <f>IF(ABS(G11)&gt;F$3,NA(),(IF(ABS(G11)&lt;=F$4,I11,'Telescope description'!D$22+(ABS(G11)-F$4)/(F$3-F$4)*(B$29-'Telescope description'!D$22))))</f>
        <v>-600.3499694469906</v>
      </c>
      <c r="L11">
        <f t="shared" si="2"/>
        <v>-63.83883593322477</v>
      </c>
      <c r="M11" t="e">
        <f>IF(AND(P11&lt;=0,P11&gt;='Telescope description'!D$22),P11,NA())</f>
        <v>#N/A</v>
      </c>
      <c r="N11" t="e">
        <f>IF(AND(Q11&lt;='Telescope description'!D$25,Q11&gt;='Telescope description'!D$22),Q11,NA())</f>
        <v>#N/A</v>
      </c>
      <c r="O11" t="e">
        <f>IF(AND(R11&lt;='Telescope description'!D$25,R11&gt;='Telescope description'!D$22),R11,NA())</f>
        <v>#N/A</v>
      </c>
      <c r="P11">
        <f t="shared" si="0"/>
        <v>-1014.0563380281691</v>
      </c>
      <c r="Q11">
        <f t="shared" si="1"/>
        <v>3479.2206554240465</v>
      </c>
      <c r="R11">
        <f t="shared" si="3"/>
        <v>3492.8702032199885</v>
      </c>
    </row>
    <row r="12" spans="1:18" ht="12.75">
      <c r="A12" s="1" t="s">
        <v>74</v>
      </c>
      <c r="G12">
        <f>-G6</f>
        <v>-22.559753215330595</v>
      </c>
      <c r="H12">
        <f>G12^2/2/'Telescope description'!D$7</f>
        <v>-0.15904452035519345</v>
      </c>
      <c r="I12">
        <f>IF(ABS(G12)&gt;F$4,NA(),+'Telescope description'!D$22+G12^2/2/'Telescope description'!D$16)</f>
        <v>-600.4498250520653</v>
      </c>
      <c r="J12" t="e">
        <f>IF(ABS(G12)&gt;MAX(F$7,F$8),NA(),'Telescope description'!D$25)</f>
        <v>#N/A</v>
      </c>
      <c r="K12">
        <f>IF(ABS(G12)&gt;F$3,NA(),(IF(ABS(G12)&lt;=F$4,I12,'Telescope description'!D$22+(ABS(G12)-F$4)/(F$3-F$4)*(B$29-'Telescope description'!D$22))))</f>
        <v>-600.4498250520653</v>
      </c>
      <c r="L12">
        <f t="shared" si="2"/>
        <v>-63.83883593322477</v>
      </c>
      <c r="M12" t="e">
        <f>IF(AND(P12&lt;=0,P12&gt;='Telescope description'!D$22),P12,NA())</f>
        <v>#N/A</v>
      </c>
      <c r="N12" t="e">
        <f>IF(AND(Q12&lt;='Telescope description'!D$25,Q12&gt;='Telescope description'!D$22),Q12,NA())</f>
        <v>#N/A</v>
      </c>
      <c r="O12" t="e">
        <f>IF(AND(R12&lt;='Telescope description'!D$25,R12&gt;='Telescope description'!D$22),R12,NA())</f>
        <v>#N/A</v>
      </c>
      <c r="P12">
        <f t="shared" si="0"/>
        <v>-1035.6874544597856</v>
      </c>
      <c r="Q12">
        <f t="shared" si="1"/>
        <v>3692.317706979374</v>
      </c>
      <c r="R12">
        <f t="shared" si="3"/>
        <v>3706.78820581988</v>
      </c>
    </row>
    <row r="13" spans="1:18" ht="12.75">
      <c r="A13" t="s">
        <v>75</v>
      </c>
      <c r="B13">
        <f>'Telescope description'!D$31/'Telescope description'!D$29-B26/'Telescope description'!D$8</f>
        <v>0.03788634637001462</v>
      </c>
      <c r="G13">
        <f>-G5</f>
        <v>-28.977654034815078</v>
      </c>
      <c r="H13">
        <f>G13^2/2/'Telescope description'!D$7</f>
        <v>-0.2624076354254483</v>
      </c>
      <c r="I13">
        <f>IF(ABS(G13)&gt;F$4,NA(),+'Telescope description'!D$22+G13^2/2/'Telescope description'!D$16)</f>
        <v>-600.7529982585042</v>
      </c>
      <c r="J13" t="e">
        <f>IF(ABS(G13)&gt;MAX(F$7,F$8),NA(),'Telescope description'!D$25)</f>
        <v>#N/A</v>
      </c>
      <c r="K13">
        <f>IF(ABS(G13)&gt;F$3,NA(),(IF(ABS(G13)&lt;=F$4,I13,'Telescope description'!D$22+(ABS(G13)-F$4)/(F$3-F$4)*(B$29-'Telescope description'!D$22))))</f>
        <v>-600.7529982585042</v>
      </c>
      <c r="L13">
        <f t="shared" si="2"/>
        <v>0</v>
      </c>
      <c r="M13" t="e">
        <f>IF(AND(P13&lt;=0,P13&gt;='Telescope description'!D$22),P13,NA())</f>
        <v>#N/A</v>
      </c>
      <c r="N13" t="e">
        <f>IF(AND(Q13&lt;='Telescope description'!D$25,Q13&gt;='Telescope description'!D$22),Q13,NA())</f>
        <v>#N/A</v>
      </c>
      <c r="O13" t="e">
        <f>IF(AND(R13&lt;='Telescope description'!D$25,R13&gt;='Telescope description'!D$22),R13,NA())</f>
        <v>#N/A</v>
      </c>
      <c r="P13">
        <f t="shared" si="0"/>
        <v>-1089.9217294834057</v>
      </c>
      <c r="Q13">
        <f t="shared" si="1"/>
        <v>4226.601923760811</v>
      </c>
      <c r="R13">
        <f t="shared" si="3"/>
        <v>4243.130739141404</v>
      </c>
    </row>
    <row r="14" spans="1:18" ht="12.75">
      <c r="A14" t="s">
        <v>76</v>
      </c>
      <c r="B14">
        <f>B26</f>
        <v>24.978373465355286</v>
      </c>
      <c r="G14">
        <f>-G4</f>
        <v>-29</v>
      </c>
      <c r="H14">
        <f>G14^2/2/'Telescope description'!D$7</f>
        <v>-0.2628125</v>
      </c>
      <c r="I14">
        <f>IF(ABS(G14)&gt;F$4,NA(),+'Telescope description'!D$22+G14^2/2/'Telescope description'!D$16)</f>
        <v>-600.7541857622977</v>
      </c>
      <c r="J14" t="e">
        <f>IF(ABS(G14)&gt;MAX(F$7,F$8),NA(),'Telescope description'!D$25)</f>
        <v>#N/A</v>
      </c>
      <c r="K14" t="e">
        <f>IF(ABS(G14)&gt;F$3,NA(),(IF(ABS(G14)&lt;=F$4,I14,'Telescope description'!D$22+(ABS(G14)-F$4)/(F$3-F$4)*(B$29-'Telescope description'!D$22))))</f>
        <v>#N/A</v>
      </c>
      <c r="L14" t="e">
        <f t="shared" si="2"/>
        <v>#N/A</v>
      </c>
      <c r="M14" t="e">
        <f>IF(AND(P14&lt;=0,P14&gt;='Telescope description'!D$22),P14,NA())</f>
        <v>#N/A</v>
      </c>
      <c r="N14" t="e">
        <f>IF(AND(Q14&lt;='Telescope description'!D$25,Q14&gt;='Telescope description'!D$22),Q14,NA())</f>
        <v>#N/A</v>
      </c>
      <c r="O14" t="e">
        <f>IF(AND(R14&lt;='Telescope description'!D$25,R14&gt;='Telescope description'!D$22),R14,NA())</f>
        <v>#N/A</v>
      </c>
      <c r="P14">
        <f t="shared" si="0"/>
        <v>-1090.1105633802817</v>
      </c>
      <c r="Q14">
        <f t="shared" si="1"/>
        <v>4228.462204379483</v>
      </c>
      <c r="R14">
        <f t="shared" si="3"/>
        <v>4244.998186444486</v>
      </c>
    </row>
    <row r="15" spans="7:18" ht="12.75">
      <c r="G15">
        <f>-G3</f>
        <v>-29</v>
      </c>
      <c r="H15">
        <f>G15^2/2/'Telescope description'!D$7</f>
        <v>-0.2628125</v>
      </c>
      <c r="I15">
        <f>IF(ABS(G15)&gt;F$4,NA(),+'Telescope description'!D$22+G15^2/2/'Telescope description'!D$16)</f>
        <v>-600.7541857622977</v>
      </c>
      <c r="J15" t="e">
        <f>IF(ABS(G15)&gt;MAX(F$7,F$8),NA(),'Telescope description'!D$25)</f>
        <v>#N/A</v>
      </c>
      <c r="K15" t="e">
        <f>IF(ABS(G15)&gt;F$3,NA(),(IF(ABS(G15)&lt;=F$4,I15,'Telescope description'!D$22+(ABS(G15)-F$4)/(F$3-F$4)*(B$29-'Telescope description'!D$22))))</f>
        <v>#N/A</v>
      </c>
      <c r="L15" t="e">
        <f t="shared" si="2"/>
        <v>#N/A</v>
      </c>
      <c r="M15" t="e">
        <f>IF(AND(P15&lt;=0,P15&gt;='Telescope description'!D$22),P15,NA())</f>
        <v>#N/A</v>
      </c>
      <c r="N15" t="e">
        <f>IF(AND(Q15&lt;='Telescope description'!D$25,Q15&gt;='Telescope description'!D$22),Q15,NA())</f>
        <v>#N/A</v>
      </c>
      <c r="O15" t="e">
        <f>IF(AND(R15&lt;='Telescope description'!D$25,R15&gt;='Telescope description'!D$22),R15,NA())</f>
        <v>#N/A</v>
      </c>
      <c r="P15">
        <f t="shared" si="0"/>
        <v>-1090.1105633802817</v>
      </c>
      <c r="Q15">
        <f t="shared" si="1"/>
        <v>4228.462204379483</v>
      </c>
      <c r="R15">
        <f t="shared" si="3"/>
        <v>4244.998186444486</v>
      </c>
    </row>
    <row r="16" spans="1:18" ht="12.75">
      <c r="A16" s="1" t="s">
        <v>77</v>
      </c>
      <c r="G16">
        <f>-G2</f>
        <v>-100</v>
      </c>
      <c r="H16">
        <f>G16^2/2/'Telescope description'!D$7</f>
        <v>-3.125</v>
      </c>
      <c r="I16" t="e">
        <f>IF(ABS(G16)&gt;F$4,NA(),+'Telescope description'!D$22+G16^2/2/'Telescope description'!D$16)</f>
        <v>#N/A</v>
      </c>
      <c r="J16" t="e">
        <f>IF(ABS(G16)&gt;MAX(F$7,F$8),NA(),'Telescope description'!D$25)</f>
        <v>#N/A</v>
      </c>
      <c r="K16" t="e">
        <f>IF(ABS(G16)&gt;F$3,NA(),(IF(ABS(G16)&lt;=F$4,I16,'Telescope description'!D$22+(ABS(G16)-F$4)/(F$3-F$4)*(B$29-'Telescope description'!D$22))))</f>
        <v>#N/A</v>
      </c>
      <c r="L16" t="e">
        <f t="shared" si="2"/>
        <v>#N/A</v>
      </c>
      <c r="M16" t="e">
        <f>IF(AND(P16&lt;=0,P16&gt;='Telescope description'!D$22),P16,NA())</f>
        <v>#N/A</v>
      </c>
      <c r="N16" t="e">
        <f>IF(AND(Q16&lt;='Telescope description'!D$25,Q16&gt;='Telescope description'!D$22),Q16,NA())</f>
        <v>#N/A</v>
      </c>
      <c r="O16" t="e">
        <f>IF(AND(R16&lt;='Telescope description'!D$25,R16&gt;='Telescope description'!D$22),R16,NA())</f>
        <v>#N/A</v>
      </c>
      <c r="P16">
        <f t="shared" si="0"/>
        <v>-1690.093896713615</v>
      </c>
      <c r="Q16">
        <f t="shared" si="1"/>
        <v>10139.145535027932</v>
      </c>
      <c r="R16">
        <f t="shared" si="3"/>
        <v>10178.452276326632</v>
      </c>
    </row>
    <row r="17" spans="1:2" ht="12.75">
      <c r="A17" t="s">
        <v>78</v>
      </c>
      <c r="B17">
        <f>('Telescope description'!D$32-B37)/('Telescope description'!D$25-B36)</f>
        <v>-0.011966048599090154</v>
      </c>
    </row>
    <row r="18" spans="1:2" ht="12.75">
      <c r="A18" t="s">
        <v>79</v>
      </c>
      <c r="B18">
        <f>(B37*'Telescope description'!D$25-B36*'Telescope description'!D$32)/('Telescope description'!D$25-B36)</f>
        <v>21.795854602044287</v>
      </c>
    </row>
    <row r="20" ht="12.75">
      <c r="A20" t="s">
        <v>80</v>
      </c>
    </row>
    <row r="21" spans="1:2" ht="12.75">
      <c r="A21" t="s">
        <v>81</v>
      </c>
      <c r="B21">
        <f>-'Telescope description'!D$32/'Telescope description'!D$8+B10/'Telescope description'!D$8+B9+B4*'Telescope description'!D$25/'Telescope description'!D$8-B4</f>
        <v>-0.15478973432132373</v>
      </c>
    </row>
    <row r="22" spans="1:2" ht="12.75">
      <c r="A22" t="s">
        <v>41</v>
      </c>
      <c r="B22">
        <f>'Telescope description'!D$32*('Telescope description'!D$31/'Telescope description'!D$29-B9)-B10*'Telescope description'!D$31/'Telescope description'!D$29-B4*'Telescope description'!D$25*('Telescope description'!D$31/'Telescope description'!D$29-B9)+B4*B10+'Telescope description'!D$6*'Telescope description'!D$32/'Telescope description'!D$8-B10*'Telescope description'!D$6/'Telescope description'!D$8-B9*'Telescope description'!D$6-(B4+'Telescope description'!D$33)*('Telescope description'!D$25*B10/'Telescope description'!D$8+B9*'Telescope description'!D$25-'Telescope description'!D$32)-'Telescope description'!D$33*'Telescope description'!D$6*(1-'Telescope description'!D$25/'Telescope description'!D$8)</f>
        <v>6.3458948787820475</v>
      </c>
    </row>
    <row r="23" spans="1:2" ht="12.75">
      <c r="A23" t="s">
        <v>82</v>
      </c>
      <c r="B23">
        <f>-'Telescope description'!D$6*'Telescope description'!D$32*('Telescope description'!D$31/'Telescope description'!D$29-B9)+B10*'Telescope description'!D$6*'Telescope description'!D$31/'Telescope description'!D$29+(B4+'Telescope description'!D$33)*(B10*'Telescope description'!D$25*'Telescope description'!D$31/'Telescope description'!D$29-B10*'Telescope description'!D$32)-'Telescope description'!D$33*'Telescope description'!D$6*'Telescope description'!D$25*('Telescope description'!D$31/'Telescope description'!D$29-B9)+'Telescope description'!D$33*'Telescope description'!D$6*B10</f>
        <v>-61.93385418463108</v>
      </c>
    </row>
    <row r="25" spans="1:2" ht="12.75">
      <c r="A25" t="s">
        <v>83</v>
      </c>
      <c r="B25">
        <f>(-B$22+SQRT(B$22^2-4*B$21*B$23))/2/B$21</f>
        <v>16.01849823680023</v>
      </c>
    </row>
    <row r="26" spans="1:2" ht="12.75">
      <c r="A26" t="s">
        <v>84</v>
      </c>
      <c r="B26">
        <f>(-B$22-SQRT(B$22^2-4*B$21*B$23))/2/B$21</f>
        <v>24.978373465355286</v>
      </c>
    </row>
    <row r="28" ht="12.75">
      <c r="A28" t="s">
        <v>85</v>
      </c>
    </row>
    <row r="29" spans="1:2" ht="12.75">
      <c r="A29" t="s">
        <v>86</v>
      </c>
      <c r="B29" s="7">
        <f>(B26-B18)/(B17+'Telescope description'!D$33)</f>
        <v>-600.173012277157</v>
      </c>
    </row>
    <row r="30" spans="1:3" ht="12.75">
      <c r="A30" t="s">
        <v>87</v>
      </c>
      <c r="B30" s="7">
        <f>B26-'Telescope description'!D$33*B29</f>
        <v>28.97755403481508</v>
      </c>
      <c r="C30" s="2">
        <f>B30/'Telescope description'!D$6</f>
        <v>0.2897755403481508</v>
      </c>
    </row>
    <row r="31" spans="2:3" ht="12.75">
      <c r="B31" s="7"/>
      <c r="C31" s="2"/>
    </row>
    <row r="32" spans="1:3" ht="12.75">
      <c r="A32" t="s">
        <v>103</v>
      </c>
      <c r="B32" s="7">
        <f>+B29-'Telescope description'!D$22</f>
        <v>-0.18967894382365103</v>
      </c>
      <c r="C32" s="2"/>
    </row>
    <row r="33" spans="1:3" ht="12.75">
      <c r="A33" t="s">
        <v>104</v>
      </c>
      <c r="B33" s="7">
        <f>2*B30</f>
        <v>57.95510806963016</v>
      </c>
      <c r="C33" s="2"/>
    </row>
    <row r="34" ht="12.75">
      <c r="B34" s="7"/>
    </row>
    <row r="35" spans="1:2" ht="12.75">
      <c r="A35" t="s">
        <v>88</v>
      </c>
      <c r="B35" s="7"/>
    </row>
    <row r="36" spans="1:2" ht="12.75">
      <c r="A36" t="s">
        <v>89</v>
      </c>
      <c r="B36" s="7">
        <f>(B10-B26)/('Telescope description'!D$31/'Telescope description'!D$29-B26/'Telescope description'!D$8-B9)</f>
        <v>-63.83883593322477</v>
      </c>
    </row>
    <row r="37" spans="1:2" ht="12.75">
      <c r="A37" t="s">
        <v>90</v>
      </c>
      <c r="B37" s="7">
        <f>(B10*'Telescope description'!D$31/'Telescope description'!D$29-B10*B26/'Telescope description'!D$8-B9*B26)/('Telescope description'!D$31/'Telescope description'!D$29-B26/'Telescope description'!D$8-B9)</f>
        <v>22.559753215330595</v>
      </c>
    </row>
    <row r="38" ht="12.75">
      <c r="B38" s="7"/>
    </row>
    <row r="39" spans="1:2" ht="12.75">
      <c r="A39" t="s">
        <v>103</v>
      </c>
      <c r="B39" s="7">
        <f>-B36</f>
        <v>63.83883593322477</v>
      </c>
    </row>
    <row r="40" spans="1:2" ht="12.75">
      <c r="A40" t="s">
        <v>104</v>
      </c>
      <c r="B40" s="7">
        <f>2*B37</f>
        <v>45.11950643066119</v>
      </c>
    </row>
    <row r="41" spans="1:2" ht="12.75">
      <c r="A41" t="s">
        <v>105</v>
      </c>
      <c r="B41" s="7">
        <f>2*B10</f>
        <v>43.58582340360527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Cassegrain design</dc:title>
  <dc:subject/>
  <dc:creator>Michael L. Peck (mpeck1@ix.netcom.com)</dc:creator>
  <cp:keywords/>
  <dc:description>Copyright 1999, M.L. Peck</dc:description>
  <cp:lastModifiedBy>Preferred Customer</cp:lastModifiedBy>
  <dcterms:modified xsi:type="dcterms:W3CDTF">1999-09-06T17:42:44Z</dcterms:modified>
  <cp:category/>
  <cp:version/>
  <cp:contentType/>
  <cp:contentStatus/>
</cp:coreProperties>
</file>